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1- Producción y precios/"/>
    </mc:Choice>
  </mc:AlternateContent>
  <xr:revisionPtr revIDLastSave="1461" documentId="13_ncr:1_{C229F043-1FD6-4A9B-82A9-8F36A51AF250}" xr6:coauthVersionLast="47" xr6:coauthVersionMax="47" xr10:uidLastSave="{93C52041-8D6C-4CDE-9958-955A72300432}"/>
  <bookViews>
    <workbookView xWindow="-108" yWindow="-108" windowWidth="23256" windowHeight="12456" xr2:uid="{00000000-000D-0000-FFFF-FFFF00000000}"/>
  </bookViews>
  <sheets>
    <sheet name="Precio en tambo" sheetId="1" r:id="rId1"/>
    <sheet name="Composición-Precio kilo sólidos" sheetId="2" r:id="rId2"/>
    <sheet name="Listado Datos" sheetId="3" r:id="rId3"/>
    <sheet name="ModelRiskDSN" sheetId="4" state="hidden" r:id="rId4"/>
    <sheet name="ModelRiskSYS1" sheetId="5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4" i="3" l="1"/>
  <c r="G303" i="3"/>
  <c r="G302" i="3"/>
  <c r="G300" i="3"/>
  <c r="G299" i="3"/>
  <c r="G298" i="3"/>
  <c r="G297" i="3"/>
  <c r="G296" i="3"/>
  <c r="K303" i="3"/>
  <c r="K302" i="3"/>
  <c r="C301" i="3"/>
  <c r="K301" i="3" s="1"/>
  <c r="C299" i="3"/>
  <c r="K299" i="3" s="1"/>
  <c r="C300" i="3"/>
  <c r="K300" i="3" s="1"/>
  <c r="G301" i="3"/>
  <c r="F300" i="3"/>
  <c r="F299" i="3"/>
  <c r="C298" i="3"/>
  <c r="F298" i="3" s="1"/>
  <c r="C297" i="3"/>
  <c r="F297" i="3" s="1"/>
  <c r="C296" i="3"/>
  <c r="K296" i="3" s="1"/>
  <c r="D245" i="3"/>
  <c r="C277" i="3"/>
  <c r="C291" i="3"/>
  <c r="K291" i="3" s="1"/>
  <c r="C292" i="3"/>
  <c r="C293" i="3"/>
  <c r="K293" i="3" s="1"/>
  <c r="C294" i="3"/>
  <c r="C295" i="3"/>
  <c r="C290" i="3"/>
  <c r="K290" i="3" s="1"/>
  <c r="G295" i="3"/>
  <c r="G294" i="3"/>
  <c r="G293" i="3"/>
  <c r="G292" i="3"/>
  <c r="G291" i="3"/>
  <c r="G290" i="3"/>
  <c r="D279" i="3"/>
  <c r="K294" i="3"/>
  <c r="R36" i="1"/>
  <c r="AJ36" i="1"/>
  <c r="R72" i="1"/>
  <c r="AJ72" i="1"/>
  <c r="P70" i="2"/>
  <c r="P49" i="2"/>
  <c r="P48" i="2"/>
  <c r="P47" i="2"/>
  <c r="P46" i="2"/>
  <c r="P45" i="2"/>
  <c r="P44" i="2"/>
  <c r="P43" i="2"/>
  <c r="P42" i="2"/>
  <c r="P41" i="2"/>
  <c r="P39" i="2"/>
  <c r="P38" i="2"/>
  <c r="P37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O108" i="1"/>
  <c r="K292" i="3"/>
  <c r="K298" i="3" l="1"/>
  <c r="F301" i="3"/>
  <c r="K297" i="3"/>
  <c r="F296" i="3"/>
  <c r="F293" i="3"/>
  <c r="F292" i="3"/>
  <c r="K295" i="3"/>
  <c r="F295" i="3"/>
  <c r="F291" i="3"/>
  <c r="F294" i="3"/>
  <c r="F290" i="3"/>
  <c r="G289" i="3"/>
  <c r="C289" i="3"/>
  <c r="K289" i="3" s="1"/>
  <c r="D288" i="3"/>
  <c r="D287" i="3"/>
  <c r="D286" i="3"/>
  <c r="D285" i="3"/>
  <c r="D284" i="3"/>
  <c r="D283" i="3"/>
  <c r="D282" i="3"/>
  <c r="D281" i="3"/>
  <c r="D280" i="3"/>
  <c r="F289" i="3" l="1"/>
  <c r="G288" i="3"/>
  <c r="G287" i="3"/>
  <c r="G286" i="3"/>
  <c r="G285" i="3"/>
  <c r="G284" i="3"/>
  <c r="G283" i="3"/>
  <c r="G282" i="3"/>
  <c r="G281" i="3"/>
  <c r="G280" i="3"/>
  <c r="G279" i="3"/>
  <c r="C288" i="3"/>
  <c r="C287" i="3"/>
  <c r="C286" i="3"/>
  <c r="C285" i="3"/>
  <c r="K285" i="3" l="1"/>
  <c r="F285" i="3"/>
  <c r="F287" i="3"/>
  <c r="K287" i="3"/>
  <c r="F286" i="3"/>
  <c r="K286" i="3"/>
  <c r="F288" i="3"/>
  <c r="K288" i="3"/>
  <c r="C283" i="3"/>
  <c r="K283" i="3" s="1"/>
  <c r="C282" i="3"/>
  <c r="K282" i="3" s="1"/>
  <c r="C284" i="3"/>
  <c r="P69" i="2"/>
  <c r="AJ35" i="1"/>
  <c r="AJ71" i="1"/>
  <c r="R71" i="1"/>
  <c r="R35" i="1"/>
  <c r="O107" i="1"/>
  <c r="P108" i="1" s="1"/>
  <c r="AG71" i="1"/>
  <c r="AH72" i="1" s="1"/>
  <c r="O71" i="1"/>
  <c r="O35" i="1"/>
  <c r="P36" i="1" s="1"/>
  <c r="AG35" i="1"/>
  <c r="AH36" i="1" s="1"/>
  <c r="P72" i="1" l="1"/>
  <c r="F284" i="3"/>
  <c r="K284" i="3"/>
  <c r="F283" i="3"/>
  <c r="C278" i="3"/>
  <c r="C279" i="3"/>
  <c r="C281" i="3"/>
  <c r="C280" i="3"/>
  <c r="G278" i="3"/>
  <c r="C275" i="3"/>
  <c r="C276" i="3"/>
  <c r="G274" i="3"/>
  <c r="G277" i="3"/>
  <c r="G276" i="3"/>
  <c r="G275" i="3"/>
  <c r="G273" i="3"/>
  <c r="G272" i="3"/>
  <c r="G271" i="3"/>
  <c r="G270" i="3"/>
  <c r="G269" i="3"/>
  <c r="G268" i="3"/>
  <c r="G267" i="3"/>
  <c r="D274" i="3"/>
  <c r="C274" i="3" s="1"/>
  <c r="C272" i="3"/>
  <c r="D273" i="3"/>
  <c r="C273" i="3" s="1"/>
  <c r="K276" i="3" l="1"/>
  <c r="F275" i="3"/>
  <c r="K281" i="3"/>
  <c r="K279" i="3"/>
  <c r="K272" i="3"/>
  <c r="K278" i="3"/>
  <c r="F277" i="3"/>
  <c r="K280" i="3"/>
  <c r="F276" i="3"/>
  <c r="F282" i="3"/>
  <c r="F280" i="3"/>
  <c r="F279" i="3"/>
  <c r="F281" i="3"/>
  <c r="F278" i="3"/>
  <c r="K277" i="3"/>
  <c r="K273" i="3"/>
  <c r="F273" i="3"/>
  <c r="K275" i="3"/>
  <c r="K274" i="3"/>
  <c r="F274" i="3"/>
  <c r="F272" i="3"/>
  <c r="P68" i="2"/>
  <c r="R34" i="1"/>
  <c r="AJ34" i="1"/>
  <c r="AJ70" i="1"/>
  <c r="R70" i="1"/>
  <c r="C271" i="3"/>
  <c r="C270" i="3"/>
  <c r="C269" i="3"/>
  <c r="C268" i="3"/>
  <c r="C267" i="3"/>
  <c r="C266" i="3"/>
  <c r="C265" i="3"/>
  <c r="C263" i="3"/>
  <c r="C262" i="3"/>
  <c r="C261" i="3"/>
  <c r="C260" i="3"/>
  <c r="P67" i="2"/>
  <c r="O106" i="1"/>
  <c r="P107" i="1" s="1"/>
  <c r="AG70" i="1"/>
  <c r="AH71" i="1" s="1"/>
  <c r="O70" i="1"/>
  <c r="P71" i="1" s="1"/>
  <c r="AG34" i="1"/>
  <c r="AH35" i="1" s="1"/>
  <c r="O34" i="1"/>
  <c r="G264" i="3"/>
  <c r="G265" i="3"/>
  <c r="G266" i="3"/>
  <c r="C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F264" i="3" l="1"/>
  <c r="F265" i="3"/>
  <c r="F269" i="3"/>
  <c r="K261" i="3"/>
  <c r="K263" i="3"/>
  <c r="K262" i="3"/>
  <c r="F266" i="3"/>
  <c r="F267" i="3"/>
  <c r="P35" i="1"/>
  <c r="K268" i="3"/>
  <c r="F268" i="3"/>
  <c r="K270" i="3"/>
  <c r="F270" i="3"/>
  <c r="K271" i="3"/>
  <c r="F271" i="3"/>
  <c r="K265" i="3"/>
  <c r="K264" i="3"/>
  <c r="K266" i="3"/>
  <c r="K267" i="3"/>
  <c r="F261" i="3"/>
  <c r="F262" i="3"/>
  <c r="F263" i="3"/>
  <c r="C259" i="3"/>
  <c r="F259" i="3" s="1"/>
  <c r="O33" i="1"/>
  <c r="P34" i="1" s="1"/>
  <c r="C256" i="3"/>
  <c r="C257" i="3"/>
  <c r="C258" i="3"/>
  <c r="AJ69" i="1"/>
  <c r="R69" i="1"/>
  <c r="R33" i="1"/>
  <c r="AJ33" i="1"/>
  <c r="AG69" i="1"/>
  <c r="AH70" i="1" s="1"/>
  <c r="O69" i="1"/>
  <c r="AG33" i="1"/>
  <c r="AH34" i="1" s="1"/>
  <c r="P70" i="1" l="1"/>
  <c r="K257" i="3"/>
  <c r="F257" i="3"/>
  <c r="K258" i="3"/>
  <c r="F258" i="3"/>
  <c r="K256" i="3"/>
  <c r="F256" i="3"/>
  <c r="K260" i="3"/>
  <c r="F260" i="3"/>
  <c r="K259" i="3"/>
  <c r="O105" i="1"/>
  <c r="P106" i="1" s="1"/>
  <c r="C255" i="3"/>
  <c r="F255" i="3" s="1"/>
  <c r="C254" i="3"/>
  <c r="F254" i="3" s="1"/>
  <c r="C251" i="3"/>
  <c r="F251" i="3" s="1"/>
  <c r="C252" i="3"/>
  <c r="F252" i="3" s="1"/>
  <c r="C253" i="3"/>
  <c r="F253" i="3" s="1"/>
  <c r="C250" i="3"/>
  <c r="F250" i="3" s="1"/>
  <c r="C249" i="3"/>
  <c r="F249" i="3" s="1"/>
  <c r="C248" i="3"/>
  <c r="F248" i="3" s="1"/>
  <c r="K247" i="3"/>
  <c r="F247" i="3"/>
  <c r="D247" i="3"/>
  <c r="K246" i="3"/>
  <c r="F246" i="3"/>
  <c r="D246" i="3"/>
  <c r="K245" i="3"/>
  <c r="G245" i="3"/>
  <c r="F245" i="3"/>
  <c r="G244" i="3"/>
  <c r="C244" i="3"/>
  <c r="K244" i="3" s="1"/>
  <c r="G243" i="3"/>
  <c r="C243" i="3"/>
  <c r="K243" i="3" s="1"/>
  <c r="G242" i="3"/>
  <c r="C242" i="3"/>
  <c r="K242" i="3" s="1"/>
  <c r="G241" i="3"/>
  <c r="D241" i="3"/>
  <c r="C241" i="3" s="1"/>
  <c r="G240" i="3"/>
  <c r="D240" i="3"/>
  <c r="C240" i="3" s="1"/>
  <c r="G239" i="3"/>
  <c r="C239" i="3"/>
  <c r="F239" i="3" s="1"/>
  <c r="G238" i="3"/>
  <c r="C238" i="3"/>
  <c r="K238" i="3" s="1"/>
  <c r="G237" i="3"/>
  <c r="C237" i="3"/>
  <c r="F237" i="3" s="1"/>
  <c r="G236" i="3"/>
  <c r="C236" i="3"/>
  <c r="F236" i="3" s="1"/>
  <c r="G235" i="3"/>
  <c r="C235" i="3"/>
  <c r="F235" i="3" s="1"/>
  <c r="G234" i="3"/>
  <c r="C234" i="3"/>
  <c r="K234" i="3" s="1"/>
  <c r="G233" i="3"/>
  <c r="C233" i="3"/>
  <c r="K233" i="3" s="1"/>
  <c r="G232" i="3"/>
  <c r="C232" i="3"/>
  <c r="K232" i="3" s="1"/>
  <c r="G231" i="3"/>
  <c r="C231" i="3"/>
  <c r="F231" i="3" s="1"/>
  <c r="G230" i="3"/>
  <c r="C230" i="3"/>
  <c r="K230" i="3" s="1"/>
  <c r="G229" i="3"/>
  <c r="C229" i="3"/>
  <c r="F229" i="3" s="1"/>
  <c r="G228" i="3"/>
  <c r="C228" i="3"/>
  <c r="K228" i="3" s="1"/>
  <c r="G227" i="3"/>
  <c r="C227" i="3"/>
  <c r="K227" i="3" s="1"/>
  <c r="G226" i="3"/>
  <c r="C226" i="3"/>
  <c r="K226" i="3" s="1"/>
  <c r="G225" i="3"/>
  <c r="D225" i="3"/>
  <c r="C225" i="3" s="1"/>
  <c r="G224" i="3"/>
  <c r="D224" i="3"/>
  <c r="C224" i="3" s="1"/>
  <c r="K223" i="3"/>
  <c r="F223" i="3"/>
  <c r="D223" i="3"/>
  <c r="E223" i="3" s="1"/>
  <c r="G223" i="3" s="1"/>
  <c r="K222" i="3"/>
  <c r="F222" i="3"/>
  <c r="E222" i="3"/>
  <c r="G222" i="3" s="1"/>
  <c r="K221" i="3"/>
  <c r="F221" i="3"/>
  <c r="E221" i="3"/>
  <c r="G221" i="3" s="1"/>
  <c r="K220" i="3"/>
  <c r="F220" i="3"/>
  <c r="E220" i="3"/>
  <c r="G220" i="3" s="1"/>
  <c r="K219" i="3"/>
  <c r="F219" i="3"/>
  <c r="E219" i="3"/>
  <c r="G219" i="3" s="1"/>
  <c r="K218" i="3"/>
  <c r="F218" i="3"/>
  <c r="E218" i="3"/>
  <c r="G218" i="3" s="1"/>
  <c r="K217" i="3"/>
  <c r="F217" i="3"/>
  <c r="E217" i="3"/>
  <c r="G217" i="3" s="1"/>
  <c r="K216" i="3"/>
  <c r="F216" i="3"/>
  <c r="E216" i="3"/>
  <c r="G216" i="3" s="1"/>
  <c r="K215" i="3"/>
  <c r="F215" i="3"/>
  <c r="E215" i="3"/>
  <c r="G215" i="3" s="1"/>
  <c r="K214" i="3"/>
  <c r="F214" i="3"/>
  <c r="E214" i="3"/>
  <c r="G214" i="3" s="1"/>
  <c r="K213" i="3"/>
  <c r="F213" i="3"/>
  <c r="E213" i="3"/>
  <c r="G213" i="3" s="1"/>
  <c r="K212" i="3"/>
  <c r="F212" i="3"/>
  <c r="E212" i="3"/>
  <c r="G212" i="3" s="1"/>
  <c r="K211" i="3"/>
  <c r="F211" i="3"/>
  <c r="E211" i="3"/>
  <c r="G211" i="3" s="1"/>
  <c r="K210" i="3"/>
  <c r="F210" i="3"/>
  <c r="E210" i="3"/>
  <c r="G210" i="3" s="1"/>
  <c r="K209" i="3"/>
  <c r="F209" i="3"/>
  <c r="E209" i="3"/>
  <c r="G209" i="3" s="1"/>
  <c r="K208" i="3"/>
  <c r="F208" i="3"/>
  <c r="E208" i="3"/>
  <c r="G208" i="3" s="1"/>
  <c r="K207" i="3"/>
  <c r="F207" i="3"/>
  <c r="E207" i="3"/>
  <c r="G207" i="3" s="1"/>
  <c r="K206" i="3"/>
  <c r="F206" i="3"/>
  <c r="E206" i="3"/>
  <c r="G206" i="3" s="1"/>
  <c r="K205" i="3"/>
  <c r="F205" i="3"/>
  <c r="E205" i="3"/>
  <c r="G205" i="3" s="1"/>
  <c r="K204" i="3"/>
  <c r="F204" i="3"/>
  <c r="E204" i="3"/>
  <c r="G204" i="3" s="1"/>
  <c r="K203" i="3"/>
  <c r="F203" i="3"/>
  <c r="E203" i="3"/>
  <c r="G203" i="3" s="1"/>
  <c r="K202" i="3"/>
  <c r="F202" i="3"/>
  <c r="E202" i="3"/>
  <c r="G202" i="3" s="1"/>
  <c r="K201" i="3"/>
  <c r="F201" i="3"/>
  <c r="E201" i="3"/>
  <c r="G201" i="3" s="1"/>
  <c r="K200" i="3"/>
  <c r="F200" i="3"/>
  <c r="E200" i="3"/>
  <c r="G200" i="3" s="1"/>
  <c r="K199" i="3"/>
  <c r="F199" i="3"/>
  <c r="E199" i="3"/>
  <c r="G199" i="3" s="1"/>
  <c r="K198" i="3"/>
  <c r="F198" i="3"/>
  <c r="E198" i="3"/>
  <c r="G198" i="3" s="1"/>
  <c r="K197" i="3"/>
  <c r="F197" i="3"/>
  <c r="E197" i="3"/>
  <c r="G197" i="3" s="1"/>
  <c r="K196" i="3"/>
  <c r="F196" i="3"/>
  <c r="E196" i="3"/>
  <c r="G196" i="3" s="1"/>
  <c r="K195" i="3"/>
  <c r="F195" i="3"/>
  <c r="E195" i="3"/>
  <c r="G195" i="3" s="1"/>
  <c r="K194" i="3"/>
  <c r="F194" i="3"/>
  <c r="E194" i="3"/>
  <c r="G194" i="3" s="1"/>
  <c r="K193" i="3"/>
  <c r="F193" i="3"/>
  <c r="E193" i="3"/>
  <c r="G193" i="3" s="1"/>
  <c r="K192" i="3"/>
  <c r="F192" i="3"/>
  <c r="E192" i="3"/>
  <c r="G192" i="3" s="1"/>
  <c r="K191" i="3"/>
  <c r="F191" i="3"/>
  <c r="E191" i="3"/>
  <c r="G191" i="3" s="1"/>
  <c r="K190" i="3"/>
  <c r="F190" i="3"/>
  <c r="E190" i="3"/>
  <c r="G190" i="3" s="1"/>
  <c r="K189" i="3"/>
  <c r="F189" i="3"/>
  <c r="E189" i="3"/>
  <c r="G189" i="3" s="1"/>
  <c r="K188" i="3"/>
  <c r="F188" i="3"/>
  <c r="E188" i="3"/>
  <c r="G188" i="3" s="1"/>
  <c r="K187" i="3"/>
  <c r="F187" i="3"/>
  <c r="E187" i="3"/>
  <c r="G187" i="3" s="1"/>
  <c r="K186" i="3"/>
  <c r="F186" i="3"/>
  <c r="E186" i="3"/>
  <c r="G186" i="3" s="1"/>
  <c r="K185" i="3"/>
  <c r="F185" i="3"/>
  <c r="E185" i="3"/>
  <c r="G185" i="3" s="1"/>
  <c r="K184" i="3"/>
  <c r="F184" i="3"/>
  <c r="E184" i="3"/>
  <c r="G184" i="3" s="1"/>
  <c r="K183" i="3"/>
  <c r="F183" i="3"/>
  <c r="E183" i="3"/>
  <c r="G183" i="3" s="1"/>
  <c r="K182" i="3"/>
  <c r="F182" i="3"/>
  <c r="E182" i="3"/>
  <c r="G182" i="3" s="1"/>
  <c r="K181" i="3"/>
  <c r="F181" i="3"/>
  <c r="E181" i="3"/>
  <c r="G181" i="3" s="1"/>
  <c r="K180" i="3"/>
  <c r="F180" i="3"/>
  <c r="E180" i="3"/>
  <c r="G180" i="3" s="1"/>
  <c r="K179" i="3"/>
  <c r="F179" i="3"/>
  <c r="E179" i="3"/>
  <c r="G179" i="3" s="1"/>
  <c r="K178" i="3"/>
  <c r="F178" i="3"/>
  <c r="E178" i="3"/>
  <c r="G178" i="3" s="1"/>
  <c r="K177" i="3"/>
  <c r="F177" i="3"/>
  <c r="E177" i="3"/>
  <c r="G177" i="3" s="1"/>
  <c r="K176" i="3"/>
  <c r="F176" i="3"/>
  <c r="E176" i="3"/>
  <c r="G176" i="3" s="1"/>
  <c r="K175" i="3"/>
  <c r="F175" i="3"/>
  <c r="E175" i="3"/>
  <c r="G175" i="3" s="1"/>
  <c r="K174" i="3"/>
  <c r="F174" i="3"/>
  <c r="E174" i="3"/>
  <c r="G174" i="3" s="1"/>
  <c r="K173" i="3"/>
  <c r="F173" i="3"/>
  <c r="E173" i="3"/>
  <c r="G173" i="3" s="1"/>
  <c r="K172" i="3"/>
  <c r="F172" i="3"/>
  <c r="E172" i="3"/>
  <c r="G172" i="3" s="1"/>
  <c r="K171" i="3"/>
  <c r="F171" i="3"/>
  <c r="E171" i="3"/>
  <c r="G171" i="3" s="1"/>
  <c r="K170" i="3"/>
  <c r="F170" i="3"/>
  <c r="E170" i="3"/>
  <c r="G170" i="3" s="1"/>
  <c r="K169" i="3"/>
  <c r="F169" i="3"/>
  <c r="E169" i="3"/>
  <c r="G169" i="3" s="1"/>
  <c r="K168" i="3"/>
  <c r="F168" i="3"/>
  <c r="E168" i="3"/>
  <c r="G168" i="3" s="1"/>
  <c r="K167" i="3"/>
  <c r="F167" i="3"/>
  <c r="E167" i="3"/>
  <c r="G167" i="3" s="1"/>
  <c r="K166" i="3"/>
  <c r="F166" i="3"/>
  <c r="E166" i="3"/>
  <c r="G166" i="3" s="1"/>
  <c r="K165" i="3"/>
  <c r="F165" i="3"/>
  <c r="E165" i="3"/>
  <c r="G165" i="3" s="1"/>
  <c r="K164" i="3"/>
  <c r="F164" i="3"/>
  <c r="E164" i="3"/>
  <c r="G164" i="3" s="1"/>
  <c r="K163" i="3"/>
  <c r="F163" i="3"/>
  <c r="E163" i="3"/>
  <c r="G163" i="3" s="1"/>
  <c r="K162" i="3"/>
  <c r="F162" i="3"/>
  <c r="E162" i="3"/>
  <c r="G162" i="3" s="1"/>
  <c r="K161" i="3"/>
  <c r="F161" i="3"/>
  <c r="E161" i="3"/>
  <c r="G161" i="3" s="1"/>
  <c r="K160" i="3"/>
  <c r="F160" i="3"/>
  <c r="E160" i="3"/>
  <c r="G160" i="3" s="1"/>
  <c r="K159" i="3"/>
  <c r="F159" i="3"/>
  <c r="E159" i="3"/>
  <c r="G159" i="3" s="1"/>
  <c r="K158" i="3"/>
  <c r="F158" i="3"/>
  <c r="E158" i="3"/>
  <c r="G158" i="3" s="1"/>
  <c r="K157" i="3"/>
  <c r="F157" i="3"/>
  <c r="E157" i="3"/>
  <c r="G157" i="3" s="1"/>
  <c r="K156" i="3"/>
  <c r="F156" i="3"/>
  <c r="E156" i="3"/>
  <c r="G156" i="3" s="1"/>
  <c r="K155" i="3"/>
  <c r="F155" i="3"/>
  <c r="E155" i="3"/>
  <c r="G155" i="3" s="1"/>
  <c r="K154" i="3"/>
  <c r="F154" i="3"/>
  <c r="E154" i="3"/>
  <c r="G154" i="3" s="1"/>
  <c r="K153" i="3"/>
  <c r="F153" i="3"/>
  <c r="E153" i="3"/>
  <c r="G153" i="3" s="1"/>
  <c r="K152" i="3"/>
  <c r="F152" i="3"/>
  <c r="E152" i="3"/>
  <c r="G152" i="3" s="1"/>
  <c r="K151" i="3"/>
  <c r="F151" i="3"/>
  <c r="E151" i="3"/>
  <c r="G151" i="3" s="1"/>
  <c r="K150" i="3"/>
  <c r="F150" i="3"/>
  <c r="E150" i="3"/>
  <c r="G150" i="3" s="1"/>
  <c r="K149" i="3"/>
  <c r="F149" i="3"/>
  <c r="E149" i="3"/>
  <c r="G149" i="3" s="1"/>
  <c r="K148" i="3"/>
  <c r="F148" i="3"/>
  <c r="E148" i="3"/>
  <c r="G148" i="3" s="1"/>
  <c r="K147" i="3"/>
  <c r="F147" i="3"/>
  <c r="E147" i="3"/>
  <c r="G147" i="3" s="1"/>
  <c r="K146" i="3"/>
  <c r="F146" i="3"/>
  <c r="E146" i="3"/>
  <c r="G146" i="3" s="1"/>
  <c r="K145" i="3"/>
  <c r="F145" i="3"/>
  <c r="E145" i="3"/>
  <c r="G145" i="3" s="1"/>
  <c r="K144" i="3"/>
  <c r="F144" i="3"/>
  <c r="E144" i="3"/>
  <c r="G144" i="3" s="1"/>
  <c r="K143" i="3"/>
  <c r="F143" i="3"/>
  <c r="E143" i="3"/>
  <c r="G143" i="3" s="1"/>
  <c r="K142" i="3"/>
  <c r="F142" i="3"/>
  <c r="E142" i="3"/>
  <c r="G142" i="3" s="1"/>
  <c r="K141" i="3"/>
  <c r="F141" i="3"/>
  <c r="E141" i="3"/>
  <c r="G141" i="3" s="1"/>
  <c r="K140" i="3"/>
  <c r="F140" i="3"/>
  <c r="E140" i="3"/>
  <c r="G140" i="3" s="1"/>
  <c r="K139" i="3"/>
  <c r="F139" i="3"/>
  <c r="E139" i="3"/>
  <c r="G139" i="3" s="1"/>
  <c r="K138" i="3"/>
  <c r="F138" i="3"/>
  <c r="E138" i="3"/>
  <c r="G138" i="3" s="1"/>
  <c r="K137" i="3"/>
  <c r="F137" i="3"/>
  <c r="E137" i="3"/>
  <c r="G137" i="3" s="1"/>
  <c r="K136" i="3"/>
  <c r="F136" i="3"/>
  <c r="E136" i="3"/>
  <c r="G136" i="3" s="1"/>
  <c r="K135" i="3"/>
  <c r="F135" i="3"/>
  <c r="E135" i="3"/>
  <c r="G135" i="3" s="1"/>
  <c r="K134" i="3"/>
  <c r="F134" i="3"/>
  <c r="E134" i="3"/>
  <c r="G134" i="3" s="1"/>
  <c r="K133" i="3"/>
  <c r="F133" i="3"/>
  <c r="E133" i="3"/>
  <c r="G133" i="3" s="1"/>
  <c r="K132" i="3"/>
  <c r="F132" i="3"/>
  <c r="E132" i="3"/>
  <c r="G132" i="3" s="1"/>
  <c r="K131" i="3"/>
  <c r="F131" i="3"/>
  <c r="E131" i="3"/>
  <c r="G131" i="3" s="1"/>
  <c r="K130" i="3"/>
  <c r="F130" i="3"/>
  <c r="E130" i="3"/>
  <c r="G130" i="3" s="1"/>
  <c r="K129" i="3"/>
  <c r="F129" i="3"/>
  <c r="E129" i="3"/>
  <c r="G129" i="3" s="1"/>
  <c r="K128" i="3"/>
  <c r="F128" i="3"/>
  <c r="E128" i="3"/>
  <c r="G128" i="3" s="1"/>
  <c r="K127" i="3"/>
  <c r="F127" i="3"/>
  <c r="E127" i="3"/>
  <c r="G127" i="3" s="1"/>
  <c r="K126" i="3"/>
  <c r="F126" i="3"/>
  <c r="E126" i="3"/>
  <c r="G126" i="3" s="1"/>
  <c r="K125" i="3"/>
  <c r="F125" i="3"/>
  <c r="E125" i="3"/>
  <c r="G125" i="3" s="1"/>
  <c r="K124" i="3"/>
  <c r="F124" i="3"/>
  <c r="E124" i="3"/>
  <c r="G124" i="3" s="1"/>
  <c r="K123" i="3"/>
  <c r="F123" i="3"/>
  <c r="E123" i="3"/>
  <c r="G123" i="3" s="1"/>
  <c r="K122" i="3"/>
  <c r="F122" i="3"/>
  <c r="E122" i="3"/>
  <c r="G122" i="3" s="1"/>
  <c r="K121" i="3"/>
  <c r="F121" i="3"/>
  <c r="E121" i="3"/>
  <c r="G121" i="3" s="1"/>
  <c r="K120" i="3"/>
  <c r="F120" i="3"/>
  <c r="E120" i="3"/>
  <c r="G120" i="3" s="1"/>
  <c r="K119" i="3"/>
  <c r="F119" i="3"/>
  <c r="E119" i="3"/>
  <c r="G119" i="3" s="1"/>
  <c r="K118" i="3"/>
  <c r="F118" i="3"/>
  <c r="E118" i="3"/>
  <c r="G118" i="3" s="1"/>
  <c r="K117" i="3"/>
  <c r="F117" i="3"/>
  <c r="E117" i="3"/>
  <c r="G117" i="3" s="1"/>
  <c r="K116" i="3"/>
  <c r="F116" i="3"/>
  <c r="E116" i="3"/>
  <c r="G116" i="3" s="1"/>
  <c r="K115" i="3"/>
  <c r="F115" i="3"/>
  <c r="E115" i="3"/>
  <c r="G115" i="3" s="1"/>
  <c r="K114" i="3"/>
  <c r="F114" i="3"/>
  <c r="E114" i="3"/>
  <c r="G114" i="3" s="1"/>
  <c r="K113" i="3"/>
  <c r="F113" i="3"/>
  <c r="E113" i="3"/>
  <c r="G113" i="3" s="1"/>
  <c r="K112" i="3"/>
  <c r="F112" i="3"/>
  <c r="E112" i="3"/>
  <c r="G112" i="3" s="1"/>
  <c r="K111" i="3"/>
  <c r="F111" i="3"/>
  <c r="E111" i="3"/>
  <c r="G111" i="3" s="1"/>
  <c r="K110" i="3"/>
  <c r="F110" i="3"/>
  <c r="E110" i="3"/>
  <c r="G110" i="3" s="1"/>
  <c r="K109" i="3"/>
  <c r="F109" i="3"/>
  <c r="E109" i="3"/>
  <c r="G109" i="3" s="1"/>
  <c r="K108" i="3"/>
  <c r="F108" i="3"/>
  <c r="E108" i="3"/>
  <c r="G108" i="3" s="1"/>
  <c r="K107" i="3"/>
  <c r="F107" i="3"/>
  <c r="E107" i="3"/>
  <c r="G107" i="3" s="1"/>
  <c r="K106" i="3"/>
  <c r="F106" i="3"/>
  <c r="E106" i="3"/>
  <c r="G106" i="3" s="1"/>
  <c r="K105" i="3"/>
  <c r="F105" i="3"/>
  <c r="E105" i="3"/>
  <c r="G105" i="3" s="1"/>
  <c r="K104" i="3"/>
  <c r="F104" i="3"/>
  <c r="E104" i="3"/>
  <c r="G104" i="3" s="1"/>
  <c r="K103" i="3"/>
  <c r="F103" i="3"/>
  <c r="E103" i="3"/>
  <c r="G103" i="3" s="1"/>
  <c r="K102" i="3"/>
  <c r="F102" i="3"/>
  <c r="E102" i="3"/>
  <c r="G102" i="3" s="1"/>
  <c r="K101" i="3"/>
  <c r="F101" i="3"/>
  <c r="E101" i="3"/>
  <c r="G101" i="3" s="1"/>
  <c r="K100" i="3"/>
  <c r="F100" i="3"/>
  <c r="E100" i="3"/>
  <c r="G100" i="3" s="1"/>
  <c r="K99" i="3"/>
  <c r="F99" i="3"/>
  <c r="E99" i="3"/>
  <c r="G99" i="3" s="1"/>
  <c r="K98" i="3"/>
  <c r="F98" i="3"/>
  <c r="E98" i="3"/>
  <c r="G98" i="3" s="1"/>
  <c r="K97" i="3"/>
  <c r="F97" i="3"/>
  <c r="E97" i="3"/>
  <c r="G97" i="3" s="1"/>
  <c r="K96" i="3"/>
  <c r="F96" i="3"/>
  <c r="E96" i="3"/>
  <c r="G96" i="3" s="1"/>
  <c r="K95" i="3"/>
  <c r="F95" i="3"/>
  <c r="E95" i="3"/>
  <c r="G95" i="3" s="1"/>
  <c r="K94" i="3"/>
  <c r="F94" i="3"/>
  <c r="E94" i="3"/>
  <c r="G94" i="3" s="1"/>
  <c r="K93" i="3"/>
  <c r="F93" i="3"/>
  <c r="E93" i="3"/>
  <c r="G93" i="3" s="1"/>
  <c r="K92" i="3"/>
  <c r="F92" i="3"/>
  <c r="E92" i="3"/>
  <c r="G92" i="3" s="1"/>
  <c r="K91" i="3"/>
  <c r="F91" i="3"/>
  <c r="E91" i="3"/>
  <c r="G91" i="3" s="1"/>
  <c r="K90" i="3"/>
  <c r="F90" i="3"/>
  <c r="E90" i="3"/>
  <c r="G90" i="3" s="1"/>
  <c r="K89" i="3"/>
  <c r="F89" i="3"/>
  <c r="E89" i="3"/>
  <c r="G89" i="3" s="1"/>
  <c r="K88" i="3"/>
  <c r="F88" i="3"/>
  <c r="E88" i="3"/>
  <c r="G88" i="3" s="1"/>
  <c r="K87" i="3"/>
  <c r="F87" i="3"/>
  <c r="E87" i="3"/>
  <c r="G87" i="3" s="1"/>
  <c r="K86" i="3"/>
  <c r="F86" i="3"/>
  <c r="E86" i="3"/>
  <c r="G86" i="3" s="1"/>
  <c r="K85" i="3"/>
  <c r="F85" i="3"/>
  <c r="E85" i="3"/>
  <c r="G85" i="3" s="1"/>
  <c r="K84" i="3"/>
  <c r="F84" i="3"/>
  <c r="E84" i="3"/>
  <c r="G84" i="3" s="1"/>
  <c r="K83" i="3"/>
  <c r="F83" i="3"/>
  <c r="E83" i="3"/>
  <c r="G83" i="3" s="1"/>
  <c r="K82" i="3"/>
  <c r="F82" i="3"/>
  <c r="E82" i="3"/>
  <c r="G82" i="3" s="1"/>
  <c r="K81" i="3"/>
  <c r="F81" i="3"/>
  <c r="E81" i="3"/>
  <c r="G81" i="3" s="1"/>
  <c r="K80" i="3"/>
  <c r="F80" i="3"/>
  <c r="E80" i="3"/>
  <c r="G80" i="3" s="1"/>
  <c r="K79" i="3"/>
  <c r="F79" i="3"/>
  <c r="E79" i="3"/>
  <c r="G79" i="3" s="1"/>
  <c r="K78" i="3"/>
  <c r="F78" i="3"/>
  <c r="E78" i="3"/>
  <c r="G78" i="3" s="1"/>
  <c r="K77" i="3"/>
  <c r="F77" i="3"/>
  <c r="E77" i="3"/>
  <c r="G77" i="3" s="1"/>
  <c r="K76" i="3"/>
  <c r="F76" i="3"/>
  <c r="E76" i="3"/>
  <c r="G76" i="3" s="1"/>
  <c r="K75" i="3"/>
  <c r="F75" i="3"/>
  <c r="E75" i="3"/>
  <c r="G75" i="3" s="1"/>
  <c r="K74" i="3"/>
  <c r="F74" i="3"/>
  <c r="E74" i="3"/>
  <c r="G74" i="3" s="1"/>
  <c r="K73" i="3"/>
  <c r="F73" i="3"/>
  <c r="E73" i="3"/>
  <c r="G73" i="3" s="1"/>
  <c r="K72" i="3"/>
  <c r="F72" i="3"/>
  <c r="E72" i="3"/>
  <c r="G72" i="3" s="1"/>
  <c r="K71" i="3"/>
  <c r="F71" i="3"/>
  <c r="E71" i="3"/>
  <c r="G71" i="3" s="1"/>
  <c r="K70" i="3"/>
  <c r="F70" i="3"/>
  <c r="E70" i="3"/>
  <c r="G70" i="3" s="1"/>
  <c r="K69" i="3"/>
  <c r="F69" i="3"/>
  <c r="E69" i="3"/>
  <c r="G69" i="3" s="1"/>
  <c r="K68" i="3"/>
  <c r="F68" i="3"/>
  <c r="E68" i="3"/>
  <c r="G68" i="3" s="1"/>
  <c r="K67" i="3"/>
  <c r="F67" i="3"/>
  <c r="E67" i="3"/>
  <c r="G67" i="3" s="1"/>
  <c r="K66" i="3"/>
  <c r="F66" i="3"/>
  <c r="E66" i="3"/>
  <c r="G66" i="3" s="1"/>
  <c r="K65" i="3"/>
  <c r="F65" i="3"/>
  <c r="E65" i="3"/>
  <c r="G65" i="3" s="1"/>
  <c r="K64" i="3"/>
  <c r="F64" i="3"/>
  <c r="E64" i="3"/>
  <c r="G64" i="3" s="1"/>
  <c r="K63" i="3"/>
  <c r="F63" i="3"/>
  <c r="E63" i="3"/>
  <c r="G63" i="3" s="1"/>
  <c r="K62" i="3"/>
  <c r="F62" i="3"/>
  <c r="E62" i="3"/>
  <c r="G62" i="3" s="1"/>
  <c r="K61" i="3"/>
  <c r="F61" i="3"/>
  <c r="E61" i="3"/>
  <c r="G61" i="3" s="1"/>
  <c r="K60" i="3"/>
  <c r="F60" i="3"/>
  <c r="E60" i="3"/>
  <c r="G60" i="3" s="1"/>
  <c r="K59" i="3"/>
  <c r="F59" i="3"/>
  <c r="E59" i="3"/>
  <c r="G59" i="3" s="1"/>
  <c r="K58" i="3"/>
  <c r="F58" i="3"/>
  <c r="E58" i="3"/>
  <c r="G58" i="3" s="1"/>
  <c r="K57" i="3"/>
  <c r="F57" i="3"/>
  <c r="E57" i="3"/>
  <c r="G57" i="3" s="1"/>
  <c r="K56" i="3"/>
  <c r="F56" i="3"/>
  <c r="E56" i="3"/>
  <c r="G56" i="3" s="1"/>
  <c r="K55" i="3"/>
  <c r="F55" i="3"/>
  <c r="E55" i="3"/>
  <c r="G55" i="3" s="1"/>
  <c r="K54" i="3"/>
  <c r="F54" i="3"/>
  <c r="E54" i="3"/>
  <c r="G54" i="3" s="1"/>
  <c r="K53" i="3"/>
  <c r="F53" i="3"/>
  <c r="E53" i="3"/>
  <c r="G53" i="3" s="1"/>
  <c r="K52" i="3"/>
  <c r="F52" i="3"/>
  <c r="E52" i="3"/>
  <c r="G52" i="3" s="1"/>
  <c r="K51" i="3"/>
  <c r="F51" i="3"/>
  <c r="E51" i="3"/>
  <c r="G51" i="3" s="1"/>
  <c r="K50" i="3"/>
  <c r="F50" i="3"/>
  <c r="E50" i="3"/>
  <c r="G50" i="3" s="1"/>
  <c r="K49" i="3"/>
  <c r="F49" i="3"/>
  <c r="E49" i="3"/>
  <c r="G49" i="3" s="1"/>
  <c r="K48" i="3"/>
  <c r="F48" i="3"/>
  <c r="E48" i="3"/>
  <c r="G48" i="3" s="1"/>
  <c r="K47" i="3"/>
  <c r="F47" i="3"/>
  <c r="E47" i="3"/>
  <c r="G47" i="3" s="1"/>
  <c r="K46" i="3"/>
  <c r="F46" i="3"/>
  <c r="E46" i="3"/>
  <c r="G46" i="3" s="1"/>
  <c r="K45" i="3"/>
  <c r="F45" i="3"/>
  <c r="E45" i="3"/>
  <c r="G45" i="3" s="1"/>
  <c r="K44" i="3"/>
  <c r="F44" i="3"/>
  <c r="E44" i="3"/>
  <c r="G44" i="3" s="1"/>
  <c r="K43" i="3"/>
  <c r="F43" i="3"/>
  <c r="E43" i="3"/>
  <c r="G43" i="3" s="1"/>
  <c r="K42" i="3"/>
  <c r="F42" i="3"/>
  <c r="E42" i="3"/>
  <c r="G42" i="3" s="1"/>
  <c r="K41" i="3"/>
  <c r="F41" i="3"/>
  <c r="E41" i="3"/>
  <c r="G41" i="3" s="1"/>
  <c r="K40" i="3"/>
  <c r="F40" i="3"/>
  <c r="E40" i="3"/>
  <c r="G40" i="3" s="1"/>
  <c r="K39" i="3"/>
  <c r="F39" i="3"/>
  <c r="E39" i="3"/>
  <c r="G39" i="3" s="1"/>
  <c r="K38" i="3"/>
  <c r="F38" i="3"/>
  <c r="E38" i="3"/>
  <c r="G38" i="3" s="1"/>
  <c r="K37" i="3"/>
  <c r="F37" i="3"/>
  <c r="E37" i="3"/>
  <c r="G37" i="3" s="1"/>
  <c r="K36" i="3"/>
  <c r="F36" i="3"/>
  <c r="E36" i="3"/>
  <c r="G36" i="3" s="1"/>
  <c r="K35" i="3"/>
  <c r="F35" i="3"/>
  <c r="E35" i="3"/>
  <c r="G35" i="3" s="1"/>
  <c r="K34" i="3"/>
  <c r="F34" i="3"/>
  <c r="E34" i="3"/>
  <c r="G34" i="3" s="1"/>
  <c r="K33" i="3"/>
  <c r="F33" i="3"/>
  <c r="E33" i="3"/>
  <c r="G33" i="3" s="1"/>
  <c r="K32" i="3"/>
  <c r="F32" i="3"/>
  <c r="E32" i="3"/>
  <c r="G32" i="3" s="1"/>
  <c r="K31" i="3"/>
  <c r="F31" i="3"/>
  <c r="E31" i="3"/>
  <c r="G31" i="3" s="1"/>
  <c r="K30" i="3"/>
  <c r="F30" i="3"/>
  <c r="E30" i="3"/>
  <c r="G30" i="3" s="1"/>
  <c r="K29" i="3"/>
  <c r="F29" i="3"/>
  <c r="E29" i="3"/>
  <c r="G29" i="3" s="1"/>
  <c r="K28" i="3"/>
  <c r="F28" i="3"/>
  <c r="E28" i="3"/>
  <c r="G28" i="3" s="1"/>
  <c r="K27" i="3"/>
  <c r="F27" i="3"/>
  <c r="E27" i="3"/>
  <c r="G27" i="3" s="1"/>
  <c r="K26" i="3"/>
  <c r="F26" i="3"/>
  <c r="E26" i="3"/>
  <c r="G26" i="3" s="1"/>
  <c r="K25" i="3"/>
  <c r="F25" i="3"/>
  <c r="E25" i="3"/>
  <c r="G25" i="3" s="1"/>
  <c r="K24" i="3"/>
  <c r="F24" i="3"/>
  <c r="E24" i="3"/>
  <c r="G24" i="3" s="1"/>
  <c r="K23" i="3"/>
  <c r="F23" i="3"/>
  <c r="E23" i="3"/>
  <c r="G23" i="3" s="1"/>
  <c r="K22" i="3"/>
  <c r="F22" i="3"/>
  <c r="E22" i="3"/>
  <c r="G22" i="3" s="1"/>
  <c r="K21" i="3"/>
  <c r="F21" i="3"/>
  <c r="E21" i="3"/>
  <c r="G21" i="3" s="1"/>
  <c r="K20" i="3"/>
  <c r="F20" i="3"/>
  <c r="E20" i="3"/>
  <c r="G20" i="3" s="1"/>
  <c r="K19" i="3"/>
  <c r="F19" i="3"/>
  <c r="E19" i="3"/>
  <c r="G19" i="3" s="1"/>
  <c r="K18" i="3"/>
  <c r="F18" i="3"/>
  <c r="E18" i="3"/>
  <c r="G18" i="3" s="1"/>
  <c r="K17" i="3"/>
  <c r="F17" i="3"/>
  <c r="E17" i="3"/>
  <c r="G17" i="3" s="1"/>
  <c r="K16" i="3"/>
  <c r="F16" i="3"/>
  <c r="E16" i="3"/>
  <c r="G16" i="3" s="1"/>
  <c r="K15" i="3"/>
  <c r="F15" i="3"/>
  <c r="E15" i="3"/>
  <c r="G15" i="3" s="1"/>
  <c r="K14" i="3"/>
  <c r="F14" i="3"/>
  <c r="E14" i="3"/>
  <c r="G14" i="3" s="1"/>
  <c r="K13" i="3"/>
  <c r="F13" i="3"/>
  <c r="E13" i="3"/>
  <c r="G13" i="3" s="1"/>
  <c r="K12" i="3"/>
  <c r="F12" i="3"/>
  <c r="E12" i="3"/>
  <c r="G12" i="3" s="1"/>
  <c r="K11" i="3"/>
  <c r="F11" i="3"/>
  <c r="E11" i="3"/>
  <c r="G11" i="3" s="1"/>
  <c r="K10" i="3"/>
  <c r="F10" i="3"/>
  <c r="E10" i="3"/>
  <c r="G10" i="3" s="1"/>
  <c r="K9" i="3"/>
  <c r="F9" i="3"/>
  <c r="E9" i="3"/>
  <c r="G9" i="3" s="1"/>
  <c r="K8" i="3"/>
  <c r="F8" i="3"/>
  <c r="E8" i="3"/>
  <c r="G8" i="3" s="1"/>
  <c r="P66" i="2"/>
  <c r="P65" i="2"/>
  <c r="P64" i="2"/>
  <c r="P63" i="2"/>
  <c r="P62" i="2"/>
  <c r="P61" i="2"/>
  <c r="P60" i="2"/>
  <c r="P59" i="2"/>
  <c r="P58" i="2"/>
  <c r="P40" i="2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AJ68" i="1"/>
  <c r="AG68" i="1"/>
  <c r="AH69" i="1" s="1"/>
  <c r="R68" i="1"/>
  <c r="O68" i="1"/>
  <c r="AJ67" i="1"/>
  <c r="AG67" i="1"/>
  <c r="R67" i="1"/>
  <c r="O67" i="1"/>
  <c r="AJ66" i="1"/>
  <c r="AG66" i="1"/>
  <c r="R66" i="1"/>
  <c r="O66" i="1"/>
  <c r="AJ65" i="1"/>
  <c r="AG65" i="1"/>
  <c r="R65" i="1"/>
  <c r="O65" i="1"/>
  <c r="AJ64" i="1"/>
  <c r="AG64" i="1"/>
  <c r="R64" i="1"/>
  <c r="O64" i="1"/>
  <c r="AJ63" i="1"/>
  <c r="AG63" i="1"/>
  <c r="R63" i="1"/>
  <c r="O63" i="1"/>
  <c r="AJ62" i="1"/>
  <c r="AG62" i="1"/>
  <c r="R62" i="1"/>
  <c r="O62" i="1"/>
  <c r="AJ61" i="1"/>
  <c r="AG61" i="1"/>
  <c r="R61" i="1"/>
  <c r="O61" i="1"/>
  <c r="AJ60" i="1"/>
  <c r="AG60" i="1"/>
  <c r="R60" i="1"/>
  <c r="O60" i="1"/>
  <c r="AJ59" i="1"/>
  <c r="AG59" i="1"/>
  <c r="R59" i="1"/>
  <c r="O59" i="1"/>
  <c r="AJ58" i="1"/>
  <c r="AG58" i="1"/>
  <c r="R58" i="1"/>
  <c r="O58" i="1"/>
  <c r="AJ57" i="1"/>
  <c r="AG57" i="1"/>
  <c r="R57" i="1"/>
  <c r="O57" i="1"/>
  <c r="AJ56" i="1"/>
  <c r="AG56" i="1"/>
  <c r="R56" i="1"/>
  <c r="O56" i="1"/>
  <c r="AJ55" i="1"/>
  <c r="AG55" i="1"/>
  <c r="R55" i="1"/>
  <c r="O55" i="1"/>
  <c r="AJ54" i="1"/>
  <c r="AG54" i="1"/>
  <c r="R54" i="1"/>
  <c r="O54" i="1"/>
  <c r="AJ53" i="1"/>
  <c r="AG53" i="1"/>
  <c r="R53" i="1"/>
  <c r="O53" i="1"/>
  <c r="AJ52" i="1"/>
  <c r="AG52" i="1"/>
  <c r="R52" i="1"/>
  <c r="O52" i="1"/>
  <c r="AJ51" i="1"/>
  <c r="AG51" i="1"/>
  <c r="R51" i="1"/>
  <c r="O51" i="1"/>
  <c r="AJ50" i="1"/>
  <c r="AG50" i="1"/>
  <c r="R50" i="1"/>
  <c r="O50" i="1"/>
  <c r="AG49" i="1"/>
  <c r="O49" i="1"/>
  <c r="AJ32" i="1"/>
  <c r="AG32" i="1"/>
  <c r="AH33" i="1" s="1"/>
  <c r="R32" i="1"/>
  <c r="O32" i="1"/>
  <c r="AJ31" i="1"/>
  <c r="AG31" i="1"/>
  <c r="R31" i="1"/>
  <c r="O31" i="1"/>
  <c r="AJ30" i="1"/>
  <c r="AG30" i="1"/>
  <c r="R30" i="1"/>
  <c r="N30" i="1"/>
  <c r="M30" i="1"/>
  <c r="L30" i="1"/>
  <c r="K30" i="1"/>
  <c r="J30" i="1"/>
  <c r="I30" i="1"/>
  <c r="H30" i="1"/>
  <c r="G30" i="1"/>
  <c r="F30" i="1"/>
  <c r="E30" i="1"/>
  <c r="D30" i="1"/>
  <c r="AJ29" i="1"/>
  <c r="AG29" i="1"/>
  <c r="R29" i="1"/>
  <c r="I29" i="1"/>
  <c r="H29" i="1"/>
  <c r="G29" i="1"/>
  <c r="F29" i="1"/>
  <c r="E29" i="1"/>
  <c r="D29" i="1"/>
  <c r="C29" i="1"/>
  <c r="AJ28" i="1"/>
  <c r="AG28" i="1"/>
  <c r="R28" i="1"/>
  <c r="N28" i="1"/>
  <c r="M28" i="1"/>
  <c r="L28" i="1"/>
  <c r="K28" i="1"/>
  <c r="J28" i="1"/>
  <c r="AJ27" i="1"/>
  <c r="AG27" i="1"/>
  <c r="R27" i="1"/>
  <c r="J27" i="1"/>
  <c r="I27" i="1"/>
  <c r="H27" i="1"/>
  <c r="G27" i="1"/>
  <c r="AJ26" i="1"/>
  <c r="AG26" i="1"/>
  <c r="R26" i="1"/>
  <c r="O26" i="1"/>
  <c r="AJ25" i="1"/>
  <c r="AG25" i="1"/>
  <c r="R25" i="1"/>
  <c r="O25" i="1"/>
  <c r="AJ24" i="1"/>
  <c r="AG24" i="1"/>
  <c r="R24" i="1"/>
  <c r="O24" i="1"/>
  <c r="AJ23" i="1"/>
  <c r="AG23" i="1"/>
  <c r="R23" i="1"/>
  <c r="O23" i="1"/>
  <c r="AJ22" i="1"/>
  <c r="AG22" i="1"/>
  <c r="R22" i="1"/>
  <c r="O22" i="1"/>
  <c r="AJ21" i="1"/>
  <c r="AG21" i="1"/>
  <c r="R21" i="1"/>
  <c r="O21" i="1"/>
  <c r="AJ20" i="1"/>
  <c r="AG20" i="1"/>
  <c r="R20" i="1"/>
  <c r="O20" i="1"/>
  <c r="AJ19" i="1"/>
  <c r="AG19" i="1"/>
  <c r="R19" i="1"/>
  <c r="O19" i="1"/>
  <c r="AJ18" i="1"/>
  <c r="AG18" i="1"/>
  <c r="R18" i="1"/>
  <c r="O18" i="1"/>
  <c r="AJ17" i="1"/>
  <c r="AG17" i="1"/>
  <c r="R17" i="1"/>
  <c r="O17" i="1"/>
  <c r="AJ16" i="1"/>
  <c r="AG16" i="1"/>
  <c r="R16" i="1"/>
  <c r="O16" i="1"/>
  <c r="AJ15" i="1"/>
  <c r="AG15" i="1"/>
  <c r="R15" i="1"/>
  <c r="O15" i="1"/>
  <c r="AJ14" i="1"/>
  <c r="AG14" i="1"/>
  <c r="R14" i="1"/>
  <c r="O14" i="1"/>
  <c r="AG13" i="1"/>
  <c r="O13" i="1"/>
  <c r="P94" i="1" l="1"/>
  <c r="P14" i="1"/>
  <c r="P92" i="1"/>
  <c r="AH27" i="1"/>
  <c r="P86" i="1"/>
  <c r="AH64" i="1"/>
  <c r="AH51" i="1"/>
  <c r="AH57" i="1"/>
  <c r="AH59" i="1"/>
  <c r="AH65" i="1"/>
  <c r="AH28" i="1"/>
  <c r="AH17" i="1"/>
  <c r="AH21" i="1"/>
  <c r="AH22" i="1"/>
  <c r="AH25" i="1"/>
  <c r="K248" i="3"/>
  <c r="F243" i="3"/>
  <c r="K252" i="3"/>
  <c r="K254" i="3"/>
  <c r="K251" i="3"/>
  <c r="K255" i="3"/>
  <c r="K249" i="3"/>
  <c r="K250" i="3"/>
  <c r="K253" i="3"/>
  <c r="AH29" i="1"/>
  <c r="P87" i="1"/>
  <c r="P95" i="1"/>
  <c r="P103" i="1"/>
  <c r="P53" i="1"/>
  <c r="AH23" i="1"/>
  <c r="P93" i="1"/>
  <c r="AH14" i="1"/>
  <c r="O30" i="1"/>
  <c r="P31" i="1" s="1"/>
  <c r="AH19" i="1"/>
  <c r="P90" i="1"/>
  <c r="P98" i="1"/>
  <c r="P32" i="1"/>
  <c r="AH53" i="1"/>
  <c r="AH54" i="1"/>
  <c r="AH56" i="1"/>
  <c r="AH58" i="1"/>
  <c r="AH60" i="1"/>
  <c r="AH62" i="1"/>
  <c r="AH66" i="1"/>
  <c r="P100" i="1"/>
  <c r="P17" i="1"/>
  <c r="P18" i="1"/>
  <c r="P21" i="1"/>
  <c r="P22" i="1"/>
  <c r="P25" i="1"/>
  <c r="P26" i="1"/>
  <c r="P50" i="1"/>
  <c r="P97" i="1"/>
  <c r="AH30" i="1"/>
  <c r="P57" i="1"/>
  <c r="P61" i="1"/>
  <c r="P65" i="1"/>
  <c r="P101" i="1"/>
  <c r="P89" i="1"/>
  <c r="AH18" i="1"/>
  <c r="AH26" i="1"/>
  <c r="AH52" i="1"/>
  <c r="AH24" i="1"/>
  <c r="AH63" i="1"/>
  <c r="AH32" i="1"/>
  <c r="AH20" i="1"/>
  <c r="O28" i="1"/>
  <c r="P105" i="1"/>
  <c r="P15" i="1"/>
  <c r="P33" i="1"/>
  <c r="P102" i="1"/>
  <c r="AH68" i="1"/>
  <c r="AH61" i="1"/>
  <c r="AH55" i="1"/>
  <c r="AH16" i="1"/>
  <c r="O29" i="1"/>
  <c r="AH50" i="1"/>
  <c r="P88" i="1"/>
  <c r="P96" i="1"/>
  <c r="P104" i="1"/>
  <c r="AH67" i="1"/>
  <c r="AH31" i="1"/>
  <c r="P52" i="1"/>
  <c r="P54" i="1"/>
  <c r="P56" i="1"/>
  <c r="P58" i="1"/>
  <c r="P60" i="1"/>
  <c r="P62" i="1"/>
  <c r="P64" i="1"/>
  <c r="P66" i="1"/>
  <c r="P68" i="1"/>
  <c r="O27" i="1"/>
  <c r="P27" i="1" s="1"/>
  <c r="P69" i="1"/>
  <c r="K236" i="3"/>
  <c r="F232" i="3"/>
  <c r="F228" i="3"/>
  <c r="F244" i="3"/>
  <c r="K237" i="3"/>
  <c r="K229" i="3"/>
  <c r="F233" i="3"/>
  <c r="F226" i="3"/>
  <c r="K240" i="3"/>
  <c r="F240" i="3"/>
  <c r="K241" i="3"/>
  <c r="F241" i="3"/>
  <c r="F230" i="3"/>
  <c r="F234" i="3"/>
  <c r="F238" i="3"/>
  <c r="K225" i="3"/>
  <c r="F225" i="3"/>
  <c r="P16" i="1"/>
  <c r="F227" i="3"/>
  <c r="AH15" i="1"/>
  <c r="K239" i="3"/>
  <c r="K235" i="3"/>
  <c r="K231" i="3"/>
  <c r="P23" i="1"/>
  <c r="P19" i="1"/>
  <c r="P20" i="1"/>
  <c r="F242" i="3"/>
  <c r="P99" i="1"/>
  <c r="P91" i="1"/>
  <c r="P67" i="1"/>
  <c r="P63" i="1"/>
  <c r="P59" i="1"/>
  <c r="P55" i="1"/>
  <c r="P51" i="1"/>
  <c r="P24" i="1"/>
  <c r="K224" i="3"/>
  <c r="F224" i="3"/>
  <c r="P29" i="1" l="1"/>
  <c r="P28" i="1"/>
  <c r="P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Pedemonte</author>
  </authors>
  <commentList>
    <comment ref="F54" authorId="0" shapeId="0" xr:uid="{00000000-0006-0000-0100-000001000000}">
      <text>
        <r>
          <rPr>
            <sz val="11"/>
            <color indexed="8"/>
            <rFont val="Helvetica Neue"/>
          </rPr>
          <t>Ana Pedemonte:
Valor estimado en base al precio por kilo de leche (1 litro = 1,03 kg) dividido los sólidos (grasa y proteína) del mes.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Pedemonte</author>
  </authors>
  <commentList>
    <comment ref="K7" authorId="0" shapeId="0" xr:uid="{00000000-0006-0000-0200-000001000000}">
      <text>
        <r>
          <rPr>
            <sz val="11"/>
            <color indexed="8"/>
            <rFont val="Helvetica Neue"/>
          </rPr>
          <t>Ana Pedemonte:
Valor estimado en base al precio por kilo de leche (1 litro = 1,03 kg) dividido los sólidos (grasa y proteína) del mes.</t>
        </r>
      </text>
    </comment>
  </commentList>
</comments>
</file>

<file path=xl/sharedStrings.xml><?xml version="1.0" encoding="utf-8"?>
<sst xmlns="http://schemas.openxmlformats.org/spreadsheetml/2006/main" count="367" uniqueCount="111">
  <si>
    <t>En los cuadros 1 y 2 se presentan los valores pagados en promedio incluyendo reliquidaciones efectuadas en  otros meses correspondientes al mes presentado.</t>
  </si>
  <si>
    <t>Los cuadros 3 y 4 tienen el precio sin reliquidaciones correspondientes a otros meses.</t>
  </si>
  <si>
    <r>
      <rPr>
        <u/>
        <sz val="11"/>
        <color indexed="12"/>
        <rFont val="Calibri"/>
        <family val="2"/>
      </rPr>
      <t>Acceder al listado de datos</t>
    </r>
  </si>
  <si>
    <t>3- Precio en tambo sin reliquidaciones atribuibles al mes ($/lt)*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</si>
  <si>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</si>
  <si>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</si>
  <si>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</si>
  <si>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</si>
  <si>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</si>
  <si>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</si>
  <si>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</si>
  <si>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</si>
  <si>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</si>
  <si>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</si>
  <si>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</si>
  <si>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</si>
  <si>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</si>
  <si>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Prom.*</t>
  </si>
  <si>
    <t>Var.</t>
  </si>
  <si>
    <t>Prom. Pond.**</t>
  </si>
  <si>
    <t>Fuente: FFDSAL, declaraciones industrias al Registro de INALE</t>
  </si>
  <si>
    <t>*: Se determinó el promedio lineal en base a los precios promedios ponderados mensuales con la consideración de las reliquidaciones distribuidas en los meses correspondientes</t>
  </si>
  <si>
    <t xml:space="preserve">Precio INALE - Calculado en base a información declarada por las industrias en el FFDSAL (aproximadamente el 100% de la leche remitida a planta) </t>
  </si>
  <si>
    <t>Precio INALE calculado en base a infomación FFDSAL con reliquidaciones en los meses que corresponda.</t>
  </si>
  <si>
    <t>Precio INALE calculado en base la Declaración de las Industrias al INALE (aproximadamente 90% de leche remitida a planta).</t>
  </si>
  <si>
    <t>4- Precio en tambo sin reliquidaciones atribuibles al mes (US$/lt)*</t>
  </si>
  <si>
    <t xml:space="preserve">Tipo de cambio ($/US$) </t>
  </si>
  <si>
    <t>Prom.</t>
  </si>
  <si>
    <t>Fuente: BCU (Promedio mensual, dólar billete, interbancario)</t>
  </si>
  <si>
    <t xml:space="preserve">Composición de leche cruda recibida en planta (*) </t>
  </si>
  <si>
    <t xml:space="preserve">Contenido de Grasa (%) </t>
  </si>
  <si>
    <t xml:space="preserve">Promedio ponderado </t>
  </si>
  <si>
    <t>Variación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</si>
  <si>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</si>
  <si>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</si>
  <si>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</si>
  <si>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</si>
  <si>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</si>
  <si>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</si>
  <si>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</si>
  <si>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</si>
  <si>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</si>
  <si>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Fuente: Informantes calificados</t>
  </si>
  <si>
    <t>(*) Datos estimados en base a datos de informantes calificados; desde 2015, determinados en base a declaraciones de las principales industrias</t>
  </si>
  <si>
    <t>Contenido de Proteína (%)</t>
  </si>
  <si>
    <t xml:space="preserve">Precio kilo de sólidos con reliquidaciones ($/kilo) </t>
  </si>
  <si>
    <t>Promedio ponderado</t>
  </si>
  <si>
    <r>
      <rPr>
        <u/>
        <sz val="11"/>
        <color indexed="12"/>
        <rFont val="Calibri"/>
        <family val="2"/>
      </rPr>
      <t>Volver a hoja Precio al productor</t>
    </r>
  </si>
  <si>
    <r>
      <rPr>
        <u/>
        <sz val="11"/>
        <color indexed="12"/>
        <rFont val="Calibri"/>
        <family val="2"/>
      </rPr>
      <t>Volver a hoja Composición-Precio kilo sólidos</t>
    </r>
  </si>
  <si>
    <t>Precio de la leche en tambo, composición y precio por kilo de sólidos</t>
  </si>
  <si>
    <t>Fecha</t>
  </si>
  <si>
    <t>Precio en tambo con reliquidación ($/litro)***</t>
  </si>
  <si>
    <t>Reliquidaciones del mes ($/litro)**</t>
  </si>
  <si>
    <t>Precio en tambo sin reliquidaciones de otro mes ($/lt) *</t>
  </si>
  <si>
    <t>Precio en tambo con reliquidación (US$/lt) *</t>
  </si>
  <si>
    <t>Precio en tambo sin reliquidación (US$/lt) *</t>
  </si>
  <si>
    <t>Tipo de cambio ($/US$)</t>
  </si>
  <si>
    <t>Contenido de Grasa (%)</t>
  </si>
  <si>
    <t>Precio en tambo con reliquidación ($/ kg sólidos)</t>
  </si>
  <si>
    <t>Observaciones</t>
  </si>
  <si>
    <t>Composición de leche datos Estadísticas del Sector DIEA 2002</t>
  </si>
  <si>
    <t>Composición de leche datos Estadísticas del Sector DIEA 2003</t>
  </si>
  <si>
    <t>Composición de leche datos Estadísticas del Sector DIEA 2004</t>
  </si>
  <si>
    <t>Composición de leche datos Estadísticas del Sector DIEA 2005</t>
  </si>
  <si>
    <t>Composición de leche datos Estadísticas del Sector DIEA 2006</t>
  </si>
  <si>
    <t>Composición de leche datos Estadísticas del Sector DIEA 2007</t>
  </si>
  <si>
    <t>Composición de leche datos Estadísticas del Sector DIEA 2008</t>
  </si>
  <si>
    <t>Composición de leche datos Estadísticas del Sector DIEA 2009</t>
  </si>
  <si>
    <t>Composición de leche datos Estadísticas del Sector DIEA 2010</t>
  </si>
  <si>
    <t>Composición de leche datos Estadísticas del Sector DIEA 2011</t>
  </si>
  <si>
    <t>En adelante composición promedio registro industrias INALE</t>
  </si>
  <si>
    <t>Incluye reliquidaciones del mes equivalentes a $ 0,66 por litro</t>
  </si>
  <si>
    <t>Incluye reliquidaciones del mes equivalentes a $ 0,63 por litro</t>
  </si>
  <si>
    <t>Incluye reliquidaciones del mes equivalentes a $ 0,73 por litro</t>
  </si>
  <si>
    <t>Incluye reliquidaciones del mes equivalentes a $ 0,71 por litro</t>
  </si>
  <si>
    <t>set-16</t>
  </si>
  <si>
    <t>Al mes le corresponde una reliquidación promedio de $ 0,13 por litro.</t>
  </si>
  <si>
    <t>Al mes le corresponde una reliquidación promedio de $ 0,14 por litro.</t>
  </si>
  <si>
    <t>Al mes le corresponde una reliquidación promedio de $ 0,08 por litro.</t>
  </si>
  <si>
    <t>Al mes le corresponde una reliquidación promedio de $ 0,10 por litro.</t>
  </si>
  <si>
    <t>Al mes le corresponde una reliquidación promedio de $ 0,12 por litro.</t>
  </si>
  <si>
    <t>Al mes le corresponde una reliquidación promedio de $ 0,11 por litro.</t>
  </si>
  <si>
    <t>Al mes le corresponde una reliquidación promedio de $ 0,09 por litro.</t>
  </si>
  <si>
    <t>Al mes le corresponde una reliquidación promedio de $ 0,126 por litro.</t>
  </si>
  <si>
    <t>Al mes le corresponde una reliquidación promedio de $ 0,128 por litro.</t>
  </si>
  <si>
    <t>Al mes le corresponde una reliquidación promedio de $ 0,130 por litro.</t>
  </si>
  <si>
    <t>Al mes le corresponde una reliquidación promedio de $ 0,131 por litro.</t>
  </si>
  <si>
    <t>Al mes le corresponde una reliquidación promedio de $ 0,422 por litro.</t>
  </si>
  <si>
    <t>Al mes le corresponde una reliquidación promedio de $ 0,412 por litro.</t>
  </si>
  <si>
    <t>Al mes le corresponde una reliquidación promedio de $ 0,407 por litro.</t>
  </si>
  <si>
    <t>Al mes le corresponde una reliquidación promedio de $ 0,127 por litro.</t>
  </si>
  <si>
    <t>Al mes le corresponde una reliquidación promedio de $ 0,129 por litro.</t>
  </si>
  <si>
    <t>Hubo una reliquidación que fue pagada en noviembre 2021.</t>
  </si>
  <si>
    <t>Incluye reliquidación pagada en enero 2024 correspondiente al período ago -nov 2023</t>
  </si>
  <si>
    <t>*: Se determinó como el pago total por la leche a los productores dividido la leche apta recibida total sin reliquidaciones que se cobran en otros meses.</t>
  </si>
  <si>
    <t>**: Las reliquidaciones que se incluyen corresponden a pagos realizados en meses posteriores que se corresponden con la leche producida en cada mes. Se calculan en base a Declaraciones de las Industrias al INALE (90% de la leche)</t>
  </si>
  <si>
    <t>***: El precios con reliquidación surge de la suma del precio al productor sin reliquidaciones de meses posteriores y las reliquidaciones correspondientes al mes.</t>
  </si>
  <si>
    <t xml:space="preserve">2- Precio en tambo con reliquidaciones atribuibles al mes (US$/lt)* </t>
  </si>
  <si>
    <t>Incluye reliquidación pagada en setiembre 2024 correspondiente al julio 2024</t>
  </si>
  <si>
    <t>Incluye reliquidación pagada en julio 2024 correspondiente al período febrero- mayo 2024</t>
  </si>
  <si>
    <t>DSN Files Count:</t>
  </si>
  <si>
    <t xml:space="preserve">1- Precio en tambo con reliquidaciones atribuibles al mes ($/lt)* </t>
  </si>
  <si>
    <t>Incluye reliquidación pagada en noviembre 2024 correspondiente al agosto-octubre 2024 y pagada en enero 2025 agosto-noviembre y correspondiente a agosto 2024- mayo 2025 pagada en junio y julio 2025</t>
  </si>
  <si>
    <t>Incluye reliquidación pagada en noviembre 2024 correspondiente al agosto-octubre 2024 y pagada en enero 2025 agosto-noviembre y correspondiente a agosto 2024- mayo 2025 pagada en junio  y julio2025</t>
  </si>
  <si>
    <t>Incluye reliquidación pagada en noviembre 2024 correspondiente al agosto-octubre 2024 y pagada en enero 2025 agosto-noviembre y correspondiente a agosto 2024- mayo 2025 pagada en junio  y julio 2025</t>
  </si>
  <si>
    <t>Incluye reliquidación pagada en enero 2025 agosto-noviembre y correspondiente a agosto 2024- mayo 2025 pagada en junio y julio 2025</t>
  </si>
  <si>
    <t>Incluye reliquidación pagada en febrero 2025 diciembre- enero y correspondiente a agosto 2024- mayo 2025 pagada en junio y julio 2025</t>
  </si>
  <si>
    <t>Incluye reliquidación pagada en febrero 2025 diciembre- enero. Incluye reliquidación abril 25 enero-mar25 y correspondiente a agosto 2024- mayo 2025 pagada en junio  y julio2025</t>
  </si>
  <si>
    <t xml:space="preserve"> Incluye reliquidación abril 25 enero-mar25 y correspondiente a agosto 2024- mayo 2025 pagada en junio y julio 2025</t>
  </si>
  <si>
    <t xml:space="preserve"> Incluye reliquidación abril 25 enero-mar25 y correspondiente a agosto 2024- mayo 2025 pagada en junio  y julio2025</t>
  </si>
  <si>
    <t>Incluye prima extraordinaria correspondiente a agosto 2024- mayo 2025 pagada en junio y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</si>
</sst>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3" formatCode="_-* #,##0.00_-;\-* #,##0.00_-;_-* &quot;-&quot;??_-;_-@_-"/>
    <numFmt numFmtId="164" formatCode="0.000"/>
    <numFmt numFmtId="165" formatCode="0.0%"/>
    <numFmt numFmtId="166" formatCode="0.0"/>
    <numFmt numFmtId="167" formatCode="&quot; &quot;* #,##0&quot; &quot;;&quot; &quot;* \(#,##0\);&quot; &quot;* &quot;-&quot;??&quot; &quot;"/>
    <numFmt numFmtId="168" formatCode="0.000000"/>
    <numFmt numFmtId="169" formatCode="General_)"/>
    <numFmt numFmtId="170" formatCode="_(* #,##0_);_(* \(#,##0\);_(* &quot;-&quot;??_);_(@_)"/>
    <numFmt numFmtId="171" formatCode="0.0000000"/>
    <numFmt numFmtId="175" formatCode="_-* #,##0.00_-;\-* #,##0.00_-;_-* &quot;-&quot;??_-;_-@_-"/>
    <numFmt numFmtId="182" formatCode="#,"/>
    <numFmt numFmtId="183" formatCode="_ [$€-2]\ * #,##0.00_ ;_ [$€-2]\ * \-#,##0.00_ ;_ [$€-2]\ * &quot;-&quot;??_ "/>
    <numFmt numFmtId="185" formatCode="_([$€]* #,##0.00_);_([$€]* \(#,##0.00\);_([$€]* &quot;-&quot;??_);_(@_)"/>
  </numFmts>
  <fonts count="44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0"/>
      <color indexed="11"/>
      <name val="Calibri"/>
      <family val="2"/>
    </font>
    <font>
      <u/>
      <sz val="11"/>
      <color indexed="12"/>
      <name val="Calibri"/>
      <family val="2"/>
    </font>
    <font>
      <sz val="10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  <font>
      <sz val="13"/>
      <color indexed="8"/>
      <name val="Courier"/>
    </font>
    <font>
      <sz val="11"/>
      <color indexed="9"/>
      <name val="Calibri"/>
      <family val="2"/>
    </font>
    <font>
      <sz val="11"/>
      <color indexed="8"/>
      <name val="Helvetica Neue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3"/>
      <color theme="3"/>
      <name val="Helvetica Neue"/>
      <family val="2"/>
      <scheme val="minor"/>
    </font>
    <font>
      <b/>
      <sz val="11"/>
      <color theme="3"/>
      <name val="Helvetica Neue"/>
      <family val="2"/>
      <scheme val="minor"/>
    </font>
    <font>
      <sz val="11"/>
      <color rgb="FF006100"/>
      <name val="Helvetica Neue"/>
      <family val="2"/>
      <scheme val="minor"/>
    </font>
    <font>
      <sz val="11"/>
      <color rgb="FF9C0006"/>
      <name val="Helvetica Neue"/>
      <family val="2"/>
      <scheme val="minor"/>
    </font>
    <font>
      <sz val="11"/>
      <color rgb="FF3F3F76"/>
      <name val="Helvetica Neue"/>
      <family val="2"/>
      <scheme val="minor"/>
    </font>
    <font>
      <b/>
      <sz val="11"/>
      <color rgb="FF3F3F3F"/>
      <name val="Helvetica Neue"/>
      <family val="2"/>
      <scheme val="minor"/>
    </font>
    <font>
      <b/>
      <sz val="11"/>
      <color rgb="FFFA7D00"/>
      <name val="Helvetica Neue"/>
      <family val="2"/>
      <scheme val="minor"/>
    </font>
    <font>
      <sz val="11"/>
      <color rgb="FFFA7D00"/>
      <name val="Helvetica Neue"/>
      <family val="2"/>
      <scheme val="minor"/>
    </font>
    <font>
      <b/>
      <sz val="11"/>
      <color theme="0"/>
      <name val="Helvetica Neue"/>
      <family val="2"/>
      <scheme val="minor"/>
    </font>
    <font>
      <sz val="11"/>
      <color rgb="FFFF0000"/>
      <name val="Helvetica Neue"/>
      <family val="2"/>
      <scheme val="minor"/>
    </font>
    <font>
      <i/>
      <sz val="11"/>
      <color rgb="FF7F7F7F"/>
      <name val="Helvetica Neue"/>
      <family val="2"/>
      <scheme val="minor"/>
    </font>
    <font>
      <b/>
      <sz val="11"/>
      <color theme="1"/>
      <name val="Helvetica Neue"/>
      <family val="2"/>
      <scheme val="minor"/>
    </font>
    <font>
      <sz val="11"/>
      <color theme="0"/>
      <name val="Helvetica Neue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b/>
      <sz val="11"/>
      <color rgb="FF1C267D"/>
      <name val="Arial Narrow"/>
      <family val="2"/>
    </font>
    <font>
      <sz val="11"/>
      <color rgb="FF9C6500"/>
      <name val="Helvetica Neue"/>
      <family val="2"/>
      <scheme val="minor"/>
    </font>
    <font>
      <sz val="11"/>
      <color indexed="8"/>
      <name val="Helvetica Neue"/>
      <family val="2"/>
      <scheme val="minor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8"/>
      <color theme="3"/>
      <name val="Helvetica Neue"/>
      <family val="2"/>
      <scheme val="major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</font>
    <font>
      <b/>
      <sz val="15"/>
      <color theme="3"/>
      <name val="Helvetica Neue"/>
      <family val="2"/>
      <scheme val="minor"/>
    </font>
    <font>
      <sz val="1"/>
      <color indexed="16"/>
      <name val="Courier"/>
      <family val="3"/>
    </font>
    <font>
      <sz val="9"/>
      <name val="Arial Narrow"/>
      <family val="2"/>
    </font>
  </fonts>
  <fills count="4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10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09">
    <xf numFmtId="0" fontId="0" fillId="0" borderId="0" applyNumberFormat="0" applyFill="0" applyBorder="0" applyProtection="0"/>
    <xf numFmtId="9" fontId="13" fillId="0" borderId="0" applyFont="0" applyFill="0" applyBorder="0" applyAlignment="0" applyProtection="0"/>
    <xf numFmtId="0" fontId="15" fillId="0" borderId="56" applyNumberFormat="0" applyFill="0" applyAlignment="0" applyProtection="0"/>
    <xf numFmtId="0" fontId="16" fillId="0" borderId="57" applyNumberFormat="0" applyFill="0" applyAlignment="0" applyProtection="0"/>
    <xf numFmtId="0" fontId="19" fillId="11" borderId="58" applyNumberFormat="0" applyAlignment="0" applyProtection="0"/>
    <xf numFmtId="0" fontId="20" fillId="12" borderId="59" applyNumberFormat="0" applyAlignment="0" applyProtection="0"/>
    <xf numFmtId="0" fontId="21" fillId="12" borderId="58" applyNumberFormat="0" applyAlignment="0" applyProtection="0"/>
    <xf numFmtId="0" fontId="22" fillId="0" borderId="60" applyNumberFormat="0" applyFill="0" applyAlignment="0" applyProtection="0"/>
    <xf numFmtId="0" fontId="23" fillId="13" borderId="61" applyNumberFormat="0" applyAlignment="0" applyProtection="0"/>
    <xf numFmtId="0" fontId="26" fillId="0" borderId="63" applyNumberFormat="0" applyFill="0" applyAlignment="0" applyProtection="0"/>
    <xf numFmtId="0" fontId="2" fillId="0" borderId="5"/>
    <xf numFmtId="0" fontId="2" fillId="16" borderId="5" applyNumberFormat="0" applyBorder="0" applyAlignment="0" applyProtection="0"/>
    <xf numFmtId="0" fontId="2" fillId="20" borderId="5" applyNumberFormat="0" applyBorder="0" applyAlignment="0" applyProtection="0"/>
    <xf numFmtId="0" fontId="2" fillId="24" borderId="5" applyNumberFormat="0" applyBorder="0" applyAlignment="0" applyProtection="0"/>
    <xf numFmtId="0" fontId="2" fillId="28" borderId="5" applyNumberFormat="0" applyBorder="0" applyAlignment="0" applyProtection="0"/>
    <xf numFmtId="0" fontId="2" fillId="32" borderId="5" applyNumberFormat="0" applyBorder="0" applyAlignment="0" applyProtection="0"/>
    <xf numFmtId="0" fontId="2" fillId="36" borderId="5" applyNumberFormat="0" applyBorder="0" applyAlignment="0" applyProtection="0"/>
    <xf numFmtId="0" fontId="2" fillId="17" borderId="5" applyNumberFormat="0" applyBorder="0" applyAlignment="0" applyProtection="0"/>
    <xf numFmtId="0" fontId="2" fillId="21" borderId="5" applyNumberFormat="0" applyBorder="0" applyAlignment="0" applyProtection="0"/>
    <xf numFmtId="0" fontId="2" fillId="25" borderId="5" applyNumberFormat="0" applyBorder="0" applyAlignment="0" applyProtection="0"/>
    <xf numFmtId="0" fontId="2" fillId="29" borderId="5" applyNumberFormat="0" applyBorder="0" applyAlignment="0" applyProtection="0"/>
    <xf numFmtId="0" fontId="2" fillId="33" borderId="5" applyNumberFormat="0" applyBorder="0" applyAlignment="0" applyProtection="0"/>
    <xf numFmtId="0" fontId="2" fillId="37" borderId="5" applyNumberFormat="0" applyBorder="0" applyAlignment="0" applyProtection="0"/>
    <xf numFmtId="0" fontId="27" fillId="18" borderId="5" applyNumberFormat="0" applyBorder="0" applyAlignment="0" applyProtection="0"/>
    <xf numFmtId="0" fontId="27" fillId="22" borderId="5" applyNumberFormat="0" applyBorder="0" applyAlignment="0" applyProtection="0"/>
    <xf numFmtId="0" fontId="27" fillId="26" borderId="5" applyNumberFormat="0" applyBorder="0" applyAlignment="0" applyProtection="0"/>
    <xf numFmtId="0" fontId="27" fillId="30" borderId="5" applyNumberFormat="0" applyBorder="0" applyAlignment="0" applyProtection="0"/>
    <xf numFmtId="0" fontId="27" fillId="34" borderId="5" applyNumberFormat="0" applyBorder="0" applyAlignment="0" applyProtection="0"/>
    <xf numFmtId="0" fontId="27" fillId="38" borderId="5" applyNumberFormat="0" applyBorder="0" applyAlignment="0" applyProtection="0"/>
    <xf numFmtId="0" fontId="17" fillId="8" borderId="5" applyNumberFormat="0" applyBorder="0" applyAlignment="0" applyProtection="0"/>
    <xf numFmtId="0" fontId="30" fillId="39" borderId="5"/>
    <xf numFmtId="0" fontId="31" fillId="0" borderId="5"/>
    <xf numFmtId="0" fontId="16" fillId="0" borderId="5" applyNumberFormat="0" applyFill="0" applyBorder="0" applyAlignment="0" applyProtection="0"/>
    <xf numFmtId="0" fontId="27" fillId="15" borderId="5" applyNumberFormat="0" applyBorder="0" applyAlignment="0" applyProtection="0"/>
    <xf numFmtId="0" fontId="27" fillId="19" borderId="5" applyNumberFormat="0" applyBorder="0" applyAlignment="0" applyProtection="0"/>
    <xf numFmtId="0" fontId="27" fillId="23" borderId="5" applyNumberFormat="0" applyBorder="0" applyAlignment="0" applyProtection="0"/>
    <xf numFmtId="0" fontId="27" fillId="27" borderId="5" applyNumberFormat="0" applyBorder="0" applyAlignment="0" applyProtection="0"/>
    <xf numFmtId="0" fontId="27" fillId="31" borderId="5" applyNumberFormat="0" applyBorder="0" applyAlignment="0" applyProtection="0"/>
    <xf numFmtId="0" fontId="27" fillId="35" borderId="5" applyNumberFormat="0" applyBorder="0" applyAlignment="0" applyProtection="0"/>
    <xf numFmtId="0" fontId="14" fillId="0" borderId="5" applyNumberFormat="0" applyFill="0" applyBorder="0" applyAlignment="0" applyProtection="0">
      <alignment vertical="top"/>
      <protection locked="0"/>
    </xf>
    <xf numFmtId="0" fontId="18" fillId="9" borderId="5" applyNumberFormat="0" applyBorder="0" applyAlignment="0" applyProtection="0"/>
    <xf numFmtId="0" fontId="32" fillId="0" borderId="64"/>
    <xf numFmtId="43" fontId="2" fillId="0" borderId="5" applyFont="0" applyFill="0" applyBorder="0" applyAlignment="0" applyProtection="0"/>
    <xf numFmtId="43" fontId="2" fillId="0" borderId="5" applyFont="0" applyFill="0" applyBorder="0" applyAlignment="0" applyProtection="0"/>
    <xf numFmtId="0" fontId="33" fillId="10" borderId="5" applyNumberFormat="0" applyBorder="0" applyAlignment="0" applyProtection="0"/>
    <xf numFmtId="0" fontId="28" fillId="0" borderId="5"/>
    <xf numFmtId="0" fontId="28" fillId="0" borderId="5"/>
    <xf numFmtId="169" fontId="29" fillId="0" borderId="5"/>
    <xf numFmtId="0" fontId="28" fillId="0" borderId="5"/>
    <xf numFmtId="0" fontId="28" fillId="0" borderId="5"/>
    <xf numFmtId="0" fontId="34" fillId="0" borderId="5"/>
    <xf numFmtId="0" fontId="2" fillId="14" borderId="62" applyNumberFormat="0" applyFont="0" applyAlignment="0" applyProtection="0"/>
    <xf numFmtId="0" fontId="35" fillId="0" borderId="5" applyAlignment="0">
      <alignment horizontal="left" vertical="top" wrapText="1"/>
    </xf>
    <xf numFmtId="9" fontId="2" fillId="0" borderId="5" applyFont="0" applyFill="0" applyBorder="0" applyAlignment="0" applyProtection="0"/>
    <xf numFmtId="9" fontId="28" fillId="0" borderId="5" applyFont="0" applyFill="0" applyBorder="0" applyAlignment="0" applyProtection="0"/>
    <xf numFmtId="0" fontId="36" fillId="0" borderId="5">
      <alignment horizontal="left" indent="1"/>
    </xf>
    <xf numFmtId="0" fontId="24" fillId="0" borderId="5" applyNumberFormat="0" applyFill="0" applyBorder="0" applyAlignment="0" applyProtection="0"/>
    <xf numFmtId="0" fontId="25" fillId="0" borderId="5" applyNumberFormat="0" applyFill="0" applyBorder="0" applyAlignment="0" applyProtection="0"/>
    <xf numFmtId="0" fontId="37" fillId="0" borderId="5" applyNumberFormat="0" applyFill="0" applyBorder="0" applyAlignment="0" applyProtection="0"/>
    <xf numFmtId="0" fontId="38" fillId="40" borderId="5">
      <alignment horizontal="center" vertical="center"/>
    </xf>
    <xf numFmtId="17" fontId="39" fillId="40" borderId="5"/>
    <xf numFmtId="0" fontId="32" fillId="39" borderId="5">
      <alignment horizontal="left"/>
    </xf>
    <xf numFmtId="0" fontId="41" fillId="0" borderId="104" applyNumberFormat="0" applyFill="0" applyAlignment="0" applyProtection="0"/>
    <xf numFmtId="0" fontId="1" fillId="0" borderId="5"/>
    <xf numFmtId="43" fontId="1" fillId="0" borderId="5" applyFont="0" applyFill="0" applyBorder="0" applyAlignment="0" applyProtection="0"/>
    <xf numFmtId="9" fontId="1" fillId="0" borderId="5" applyFont="0" applyFill="0" applyBorder="0" applyAlignment="0" applyProtection="0"/>
    <xf numFmtId="0" fontId="1" fillId="14" borderId="62" applyNumberFormat="0" applyFont="0" applyAlignment="0" applyProtection="0"/>
    <xf numFmtId="0" fontId="1" fillId="16" borderId="5" applyNumberFormat="0" applyBorder="0" applyAlignment="0" applyProtection="0"/>
    <xf numFmtId="0" fontId="1" fillId="17" borderId="5" applyNumberFormat="0" applyBorder="0" applyAlignment="0" applyProtection="0"/>
    <xf numFmtId="0" fontId="1" fillId="20" borderId="5" applyNumberFormat="0" applyBorder="0" applyAlignment="0" applyProtection="0"/>
    <xf numFmtId="0" fontId="1" fillId="21" borderId="5" applyNumberFormat="0" applyBorder="0" applyAlignment="0" applyProtection="0"/>
    <xf numFmtId="0" fontId="1" fillId="24" borderId="5" applyNumberFormat="0" applyBorder="0" applyAlignment="0" applyProtection="0"/>
    <xf numFmtId="0" fontId="1" fillId="25" borderId="5" applyNumberFormat="0" applyBorder="0" applyAlignment="0" applyProtection="0"/>
    <xf numFmtId="0" fontId="1" fillId="28" borderId="5" applyNumberFormat="0" applyBorder="0" applyAlignment="0" applyProtection="0"/>
    <xf numFmtId="0" fontId="1" fillId="29" borderId="5" applyNumberFormat="0" applyBorder="0" applyAlignment="0" applyProtection="0"/>
    <xf numFmtId="0" fontId="1" fillId="32" borderId="5" applyNumberFormat="0" applyBorder="0" applyAlignment="0" applyProtection="0"/>
    <xf numFmtId="0" fontId="1" fillId="33" borderId="5" applyNumberFormat="0" applyBorder="0" applyAlignment="0" applyProtection="0"/>
    <xf numFmtId="0" fontId="1" fillId="36" borderId="5" applyNumberFormat="0" applyBorder="0" applyAlignment="0" applyProtection="0"/>
    <xf numFmtId="0" fontId="1" fillId="37" borderId="5" applyNumberFormat="0" applyBorder="0" applyAlignment="0" applyProtection="0"/>
    <xf numFmtId="43" fontId="1" fillId="0" borderId="5" applyFont="0" applyFill="0" applyBorder="0" applyAlignment="0" applyProtection="0"/>
    <xf numFmtId="183" fontId="28" fillId="0" borderId="5" applyFont="0" applyFill="0" applyBorder="0" applyAlignment="0" applyProtection="0"/>
    <xf numFmtId="182" fontId="42" fillId="0" borderId="5">
      <protection locked="0"/>
    </xf>
    <xf numFmtId="182" fontId="42" fillId="0" borderId="5">
      <protection locked="0"/>
    </xf>
    <xf numFmtId="182" fontId="42" fillId="0" borderId="5">
      <protection locked="0"/>
    </xf>
    <xf numFmtId="182" fontId="42" fillId="0" borderId="5">
      <protection locked="0"/>
    </xf>
    <xf numFmtId="182" fontId="42" fillId="0" borderId="5">
      <protection locked="0"/>
    </xf>
    <xf numFmtId="182" fontId="42" fillId="0" borderId="5">
      <protection locked="0"/>
    </xf>
    <xf numFmtId="182" fontId="42" fillId="0" borderId="5">
      <protection locked="0"/>
    </xf>
    <xf numFmtId="0" fontId="28" fillId="0" borderId="5"/>
    <xf numFmtId="9" fontId="28" fillId="0" borderId="5" applyFont="0" applyFill="0" applyBorder="0" applyAlignment="0" applyProtection="0"/>
    <xf numFmtId="175" fontId="1" fillId="0" borderId="5" applyFont="0" applyFill="0" applyBorder="0" applyAlignment="0" applyProtection="0"/>
    <xf numFmtId="175" fontId="1" fillId="0" borderId="5" applyFont="0" applyFill="0" applyBorder="0" applyAlignment="0" applyProtection="0"/>
    <xf numFmtId="185" fontId="28" fillId="0" borderId="5" applyFont="0" applyFill="0" applyBorder="0" applyAlignment="0" applyProtection="0"/>
    <xf numFmtId="175" fontId="28" fillId="0" borderId="5" applyFont="0" applyFill="0" applyBorder="0" applyAlignment="0" applyProtection="0"/>
    <xf numFmtId="175" fontId="28" fillId="0" borderId="5" applyFont="0" applyFill="0" applyBorder="0" applyAlignment="0" applyProtection="0"/>
    <xf numFmtId="175" fontId="28" fillId="0" borderId="5" applyFont="0" applyFill="0" applyBorder="0" applyAlignment="0" applyProtection="0"/>
    <xf numFmtId="175" fontId="28" fillId="0" borderId="5" applyFont="0" applyFill="0" applyBorder="0" applyAlignment="0" applyProtection="0"/>
    <xf numFmtId="0" fontId="28" fillId="0" borderId="5"/>
    <xf numFmtId="175" fontId="28" fillId="0" borderId="5" applyFont="0" applyFill="0" applyBorder="0" applyAlignment="0" applyProtection="0"/>
    <xf numFmtId="175" fontId="28" fillId="0" borderId="5" applyFont="0" applyFill="0" applyBorder="0" applyAlignment="0" applyProtection="0"/>
    <xf numFmtId="175" fontId="28" fillId="0" borderId="5" applyFont="0" applyFill="0" applyBorder="0" applyAlignment="0" applyProtection="0"/>
    <xf numFmtId="175" fontId="28" fillId="0" borderId="5" applyFont="0" applyFill="0" applyBorder="0" applyAlignment="0" applyProtection="0"/>
    <xf numFmtId="175" fontId="28" fillId="0" borderId="5" applyFont="0" applyFill="0" applyBorder="0" applyAlignment="0" applyProtection="0"/>
    <xf numFmtId="175" fontId="28" fillId="0" borderId="5" applyFont="0" applyFill="0" applyBorder="0" applyAlignment="0" applyProtection="0"/>
    <xf numFmtId="49" fontId="43" fillId="0" borderId="5" applyFill="0" applyBorder="0" applyProtection="0">
      <alignment horizontal="left" vertical="top" wrapText="1"/>
    </xf>
    <xf numFmtId="175" fontId="28" fillId="0" borderId="5" applyFont="0" applyFill="0" applyBorder="0" applyAlignment="0" applyProtection="0"/>
    <xf numFmtId="175" fontId="28" fillId="0" borderId="5" applyFont="0" applyFill="0" applyBorder="0" applyAlignment="0" applyProtection="0"/>
    <xf numFmtId="175" fontId="28" fillId="0" borderId="5" applyFont="0" applyFill="0" applyBorder="0" applyAlignment="0" applyProtection="0"/>
    <xf numFmtId="175" fontId="28" fillId="0" borderId="5" applyFont="0" applyFill="0" applyBorder="0" applyAlignment="0" applyProtection="0"/>
  </cellStyleXfs>
  <cellXfs count="381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0" borderId="5" xfId="0" applyBorder="1"/>
    <xf numFmtId="0" fontId="0" fillId="0" borderId="6" xfId="0" applyBorder="1"/>
    <xf numFmtId="49" fontId="3" fillId="2" borderId="5" xfId="0" applyNumberFormat="1" applyFont="1" applyFill="1" applyBorder="1"/>
    <xf numFmtId="49" fontId="0" fillId="2" borderId="5" xfId="0" applyNumberFormat="1" applyFill="1" applyBorder="1"/>
    <xf numFmtId="49" fontId="4" fillId="2" borderId="5" xfId="0" applyNumberFormat="1" applyFont="1" applyFill="1" applyBorder="1"/>
    <xf numFmtId="0" fontId="0" fillId="2" borderId="7" xfId="0" applyFill="1" applyBorder="1"/>
    <xf numFmtId="49" fontId="5" fillId="2" borderId="5" xfId="0" applyNumberFormat="1" applyFont="1" applyFill="1" applyBorder="1"/>
    <xf numFmtId="164" fontId="0" fillId="2" borderId="5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64" fontId="0" fillId="2" borderId="5" xfId="0" applyNumberFormat="1" applyFill="1" applyBorder="1"/>
    <xf numFmtId="49" fontId="5" fillId="0" borderId="5" xfId="0" applyNumberFormat="1" applyFont="1" applyBorder="1"/>
    <xf numFmtId="0" fontId="0" fillId="2" borderId="10" xfId="0" applyFill="1" applyBorder="1"/>
    <xf numFmtId="49" fontId="0" fillId="0" borderId="7" xfId="0" applyNumberFormat="1" applyBorder="1"/>
    <xf numFmtId="0" fontId="0" fillId="2" borderId="13" xfId="0" applyFill="1" applyBorder="1"/>
    <xf numFmtId="49" fontId="7" fillId="2" borderId="9" xfId="0" applyNumberFormat="1" applyFont="1" applyFill="1" applyBorder="1"/>
    <xf numFmtId="49" fontId="7" fillId="2" borderId="10" xfId="0" applyNumberFormat="1" applyFont="1" applyFill="1" applyBorder="1"/>
    <xf numFmtId="49" fontId="7" fillId="2" borderId="11" xfId="0" applyNumberFormat="1" applyFont="1" applyFill="1" applyBorder="1"/>
    <xf numFmtId="0" fontId="0" fillId="2" borderId="15" xfId="0" applyFill="1" applyBorder="1"/>
    <xf numFmtId="49" fontId="8" fillId="0" borderId="14" xfId="0" applyNumberFormat="1" applyFont="1" applyBorder="1"/>
    <xf numFmtId="0" fontId="0" fillId="0" borderId="16" xfId="0" applyBorder="1"/>
    <xf numFmtId="0" fontId="7" fillId="2" borderId="17" xfId="0" applyNumberFormat="1" applyFont="1" applyFill="1" applyBorder="1"/>
    <xf numFmtId="2" fontId="0" fillId="2" borderId="18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2" fontId="0" fillId="2" borderId="20" xfId="0" applyNumberFormat="1" applyFill="1" applyBorder="1" applyAlignment="1">
      <alignment horizontal="center"/>
    </xf>
    <xf numFmtId="2" fontId="7" fillId="2" borderId="18" xfId="0" applyNumberFormat="1" applyFont="1" applyFill="1" applyBorder="1"/>
    <xf numFmtId="0" fontId="7" fillId="2" borderId="20" xfId="0" applyFont="1" applyFill="1" applyBorder="1"/>
    <xf numFmtId="0" fontId="7" fillId="0" borderId="17" xfId="0" applyNumberFormat="1" applyFont="1" applyBorder="1"/>
    <xf numFmtId="0" fontId="7" fillId="2" borderId="15" xfId="0" applyNumberFormat="1" applyFont="1" applyFill="1" applyBorder="1"/>
    <xf numFmtId="2" fontId="0" fillId="2" borderId="12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7" fillId="2" borderId="12" xfId="0" applyNumberFormat="1" applyFont="1" applyFill="1" applyBorder="1"/>
    <xf numFmtId="9" fontId="7" fillId="2" borderId="8" xfId="0" applyNumberFormat="1" applyFont="1" applyFill="1" applyBorder="1"/>
    <xf numFmtId="0" fontId="7" fillId="0" borderId="15" xfId="0" applyNumberFormat="1" applyFont="1" applyBorder="1"/>
    <xf numFmtId="2" fontId="0" fillId="4" borderId="5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2" fontId="0" fillId="2" borderId="22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23" xfId="0" applyNumberFormat="1" applyFill="1" applyBorder="1" applyAlignment="1">
      <alignment horizontal="center"/>
    </xf>
    <xf numFmtId="9" fontId="7" fillId="2" borderId="23" xfId="0" applyNumberFormat="1" applyFont="1" applyFill="1" applyBorder="1"/>
    <xf numFmtId="0" fontId="0" fillId="2" borderId="24" xfId="0" applyFill="1" applyBorder="1"/>
    <xf numFmtId="0" fontId="0" fillId="2" borderId="19" xfId="0" applyFill="1" applyBorder="1"/>
    <xf numFmtId="164" fontId="0" fillId="2" borderId="19" xfId="0" applyNumberFormat="1" applyFill="1" applyBorder="1" applyAlignment="1">
      <alignment horizontal="center"/>
    </xf>
    <xf numFmtId="164" fontId="0" fillId="2" borderId="19" xfId="0" applyNumberFormat="1" applyFill="1" applyBorder="1"/>
    <xf numFmtId="9" fontId="0" fillId="2" borderId="5" xfId="0" applyNumberFormat="1" applyFill="1" applyBorder="1"/>
    <xf numFmtId="0" fontId="5" fillId="2" borderId="5" xfId="0" applyFont="1" applyFill="1" applyBorder="1" applyAlignment="1">
      <alignment horizontal="left"/>
    </xf>
    <xf numFmtId="10" fontId="5" fillId="2" borderId="5" xfId="0" applyNumberFormat="1" applyFont="1" applyFill="1" applyBorder="1" applyAlignment="1">
      <alignment horizontal="left"/>
    </xf>
    <xf numFmtId="0" fontId="5" fillId="2" borderId="5" xfId="0" applyFont="1" applyFill="1" applyBorder="1"/>
    <xf numFmtId="0" fontId="5" fillId="0" borderId="5" xfId="0" applyFont="1" applyBorder="1"/>
    <xf numFmtId="49" fontId="5" fillId="2" borderId="26" xfId="0" applyNumberFormat="1" applyFont="1" applyFill="1" applyBorder="1"/>
    <xf numFmtId="2" fontId="0" fillId="2" borderId="5" xfId="0" applyNumberFormat="1" applyFill="1" applyBorder="1"/>
    <xf numFmtId="49" fontId="0" fillId="2" borderId="27" xfId="0" applyNumberFormat="1" applyFill="1" applyBorder="1"/>
    <xf numFmtId="49" fontId="0" fillId="2" borderId="28" xfId="0" applyNumberFormat="1" applyFill="1" applyBorder="1"/>
    <xf numFmtId="2" fontId="0" fillId="4" borderId="27" xfId="0" applyNumberFormat="1" applyFill="1" applyBorder="1"/>
    <xf numFmtId="49" fontId="5" fillId="2" borderId="28" xfId="0" applyNumberFormat="1" applyFont="1" applyFill="1" applyBorder="1"/>
    <xf numFmtId="17" fontId="0" fillId="2" borderId="5" xfId="0" applyNumberFormat="1" applyFill="1" applyBorder="1"/>
    <xf numFmtId="0" fontId="0" fillId="2" borderId="5" xfId="0" applyFill="1" applyBorder="1" applyAlignment="1">
      <alignment horizontal="left"/>
    </xf>
    <xf numFmtId="49" fontId="0" fillId="5" borderId="27" xfId="0" applyNumberFormat="1" applyFill="1" applyBorder="1"/>
    <xf numFmtId="2" fontId="0" fillId="2" borderId="5" xfId="0" applyNumberFormat="1" applyFill="1" applyBorder="1" applyAlignment="1">
      <alignment wrapText="1"/>
    </xf>
    <xf numFmtId="2" fontId="5" fillId="2" borderId="4" xfId="0" applyNumberFormat="1" applyFont="1" applyFill="1" applyBorder="1" applyAlignment="1">
      <alignment horizontal="center" wrapText="1"/>
    </xf>
    <xf numFmtId="0" fontId="0" fillId="2" borderId="8" xfId="0" applyFill="1" applyBorder="1"/>
    <xf numFmtId="0" fontId="0" fillId="2" borderId="12" xfId="0" applyFill="1" applyBorder="1"/>
    <xf numFmtId="49" fontId="0" fillId="0" borderId="5" xfId="0" applyNumberFormat="1" applyBorder="1"/>
    <xf numFmtId="49" fontId="0" fillId="2" borderId="7" xfId="0" applyNumberFormat="1" applyFill="1" applyBorder="1"/>
    <xf numFmtId="0" fontId="0" fillId="2" borderId="10" xfId="0" applyFill="1" applyBorder="1" applyAlignment="1">
      <alignment horizontal="center"/>
    </xf>
    <xf numFmtId="0" fontId="0" fillId="2" borderId="16" xfId="0" applyFill="1" applyBorder="1"/>
    <xf numFmtId="9" fontId="0" fillId="2" borderId="19" xfId="0" applyNumberFormat="1" applyFill="1" applyBorder="1"/>
    <xf numFmtId="10" fontId="0" fillId="2" borderId="5" xfId="0" applyNumberFormat="1" applyFill="1" applyBorder="1"/>
    <xf numFmtId="0" fontId="5" fillId="0" borderId="6" xfId="0" applyFont="1" applyBorder="1"/>
    <xf numFmtId="49" fontId="8" fillId="2" borderId="14" xfId="0" applyNumberFormat="1" applyFont="1" applyFill="1" applyBorder="1" applyAlignment="1">
      <alignment wrapText="1"/>
    </xf>
    <xf numFmtId="17" fontId="0" fillId="2" borderId="12" xfId="0" applyNumberFormat="1" applyFill="1" applyBorder="1"/>
    <xf numFmtId="2" fontId="0" fillId="2" borderId="15" xfId="0" applyNumberFormat="1" applyFill="1" applyBorder="1" applyAlignment="1">
      <alignment horizontal="right"/>
    </xf>
    <xf numFmtId="2" fontId="0" fillId="2" borderId="29" xfId="0" applyNumberFormat="1" applyFill="1" applyBorder="1" applyAlignment="1">
      <alignment horizontal="right"/>
    </xf>
    <xf numFmtId="49" fontId="5" fillId="2" borderId="19" xfId="0" applyNumberFormat="1" applyFont="1" applyFill="1" applyBorder="1"/>
    <xf numFmtId="0" fontId="0" fillId="2" borderId="25" xfId="0" applyFill="1" applyBorder="1"/>
    <xf numFmtId="0" fontId="7" fillId="2" borderId="5" xfId="0" applyFont="1" applyFill="1" applyBorder="1"/>
    <xf numFmtId="0" fontId="0" fillId="2" borderId="30" xfId="0" applyFill="1" applyBorder="1"/>
    <xf numFmtId="0" fontId="0" fillId="2" borderId="31" xfId="0" applyFill="1" applyBorder="1"/>
    <xf numFmtId="0" fontId="0" fillId="0" borderId="31" xfId="0" applyBorder="1"/>
    <xf numFmtId="0" fontId="0" fillId="0" borderId="32" xfId="0" applyBorder="1"/>
    <xf numFmtId="0" fontId="0" fillId="2" borderId="3" xfId="0" applyFill="1" applyBorder="1"/>
    <xf numFmtId="0" fontId="0" fillId="2" borderId="6" xfId="0" applyFill="1" applyBorder="1"/>
    <xf numFmtId="49" fontId="7" fillId="2" borderId="14" xfId="0" applyNumberFormat="1" applyFont="1" applyFill="1" applyBorder="1"/>
    <xf numFmtId="49" fontId="7" fillId="2" borderId="9" xfId="0" applyNumberFormat="1" applyFont="1" applyFill="1" applyBorder="1" applyAlignment="1">
      <alignment wrapText="1"/>
    </xf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10" fontId="0" fillId="2" borderId="20" xfId="0" applyNumberFormat="1" applyFill="1" applyBorder="1" applyAlignment="1">
      <alignment horizontal="center"/>
    </xf>
    <xf numFmtId="10" fontId="7" fillId="2" borderId="18" xfId="0" applyNumberFormat="1" applyFont="1" applyFill="1" applyBorder="1"/>
    <xf numFmtId="9" fontId="7" fillId="2" borderId="20" xfId="0" applyNumberFormat="1" applyFont="1" applyFill="1" applyBorder="1"/>
    <xf numFmtId="164" fontId="0" fillId="2" borderId="16" xfId="0" applyNumberFormat="1" applyFill="1" applyBorder="1"/>
    <xf numFmtId="10" fontId="0" fillId="2" borderId="12" xfId="0" applyNumberFormat="1" applyFill="1" applyBorder="1" applyAlignment="1">
      <alignment horizontal="center"/>
    </xf>
    <xf numFmtId="10" fontId="0" fillId="2" borderId="5" xfId="0" applyNumberFormat="1" applyFill="1" applyBorder="1" applyAlignment="1">
      <alignment horizontal="center"/>
    </xf>
    <xf numFmtId="10" fontId="0" fillId="2" borderId="8" xfId="0" applyNumberFormat="1" applyFill="1" applyBorder="1" applyAlignment="1">
      <alignment horizontal="center"/>
    </xf>
    <xf numFmtId="10" fontId="7" fillId="2" borderId="12" xfId="0" applyNumberFormat="1" applyFont="1" applyFill="1" applyBorder="1"/>
    <xf numFmtId="10" fontId="0" fillId="2" borderId="22" xfId="0" applyNumberFormat="1" applyFill="1" applyBorder="1" applyAlignment="1">
      <alignment horizontal="center"/>
    </xf>
    <xf numFmtId="10" fontId="0" fillId="2" borderId="7" xfId="0" applyNumberForma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0" fontId="7" fillId="2" borderId="22" xfId="0" applyNumberFormat="1" applyFont="1" applyFill="1" applyBorder="1"/>
    <xf numFmtId="9" fontId="7" fillId="2" borderId="19" xfId="0" applyNumberFormat="1" applyFont="1" applyFill="1" applyBorder="1"/>
    <xf numFmtId="164" fontId="0" fillId="2" borderId="6" xfId="0" applyNumberFormat="1" applyFill="1" applyBorder="1"/>
    <xf numFmtId="2" fontId="7" fillId="2" borderId="5" xfId="0" applyNumberFormat="1" applyFont="1" applyFill="1" applyBorder="1"/>
    <xf numFmtId="9" fontId="7" fillId="2" borderId="5" xfId="0" applyNumberFormat="1" applyFont="1" applyFill="1" applyBorder="1"/>
    <xf numFmtId="10" fontId="0" fillId="2" borderId="19" xfId="0" applyNumberFormat="1" applyFill="1" applyBorder="1"/>
    <xf numFmtId="17" fontId="0" fillId="2" borderId="6" xfId="0" applyNumberFormat="1" applyFill="1" applyBorder="1"/>
    <xf numFmtId="166" fontId="0" fillId="2" borderId="18" xfId="0" applyNumberFormat="1" applyFill="1" applyBorder="1" applyAlignment="1">
      <alignment horizontal="center"/>
    </xf>
    <xf numFmtId="166" fontId="0" fillId="2" borderId="19" xfId="0" applyNumberFormat="1" applyFill="1" applyBorder="1" applyAlignment="1">
      <alignment horizontal="center"/>
    </xf>
    <xf numFmtId="166" fontId="0" fillId="2" borderId="20" xfId="0" applyNumberFormat="1" applyFill="1" applyBorder="1" applyAlignment="1">
      <alignment horizontal="center"/>
    </xf>
    <xf numFmtId="166" fontId="7" fillId="2" borderId="18" xfId="0" applyNumberFormat="1" applyFont="1" applyFill="1" applyBorder="1"/>
    <xf numFmtId="166" fontId="0" fillId="2" borderId="12" xfId="0" applyNumberFormat="1" applyFill="1" applyBorder="1" applyAlignment="1">
      <alignment horizontal="center"/>
    </xf>
    <xf numFmtId="166" fontId="0" fillId="2" borderId="5" xfId="0" applyNumberFormat="1" applyFill="1" applyBorder="1" applyAlignment="1">
      <alignment horizontal="center"/>
    </xf>
    <xf numFmtId="166" fontId="0" fillId="2" borderId="8" xfId="0" applyNumberFormat="1" applyFill="1" applyBorder="1" applyAlignment="1">
      <alignment horizontal="center"/>
    </xf>
    <xf numFmtId="166" fontId="7" fillId="2" borderId="12" xfId="0" applyNumberFormat="1" applyFont="1" applyFill="1" applyBorder="1"/>
    <xf numFmtId="166" fontId="0" fillId="4" borderId="5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6" fontId="7" fillId="2" borderId="22" xfId="0" applyNumberFormat="1" applyFont="1" applyFill="1" applyBorder="1"/>
    <xf numFmtId="49" fontId="5" fillId="2" borderId="27" xfId="0" applyNumberFormat="1" applyFont="1" applyFill="1" applyBorder="1"/>
    <xf numFmtId="49" fontId="5" fillId="5" borderId="27" xfId="0" applyNumberFormat="1" applyFont="1" applyFill="1" applyBorder="1"/>
    <xf numFmtId="0" fontId="0" fillId="2" borderId="26" xfId="0" applyFill="1" applyBorder="1"/>
    <xf numFmtId="49" fontId="0" fillId="2" borderId="31" xfId="0" applyNumberFormat="1" applyFill="1" applyBorder="1"/>
    <xf numFmtId="0" fontId="9" fillId="0" borderId="31" xfId="0" applyFont="1" applyBorder="1" applyAlignment="1">
      <alignment vertical="center" readingOrder="1"/>
    </xf>
    <xf numFmtId="0" fontId="0" fillId="2" borderId="32" xfId="0" applyFill="1" applyBorder="1"/>
    <xf numFmtId="49" fontId="4" fillId="2" borderId="5" xfId="0" applyNumberFormat="1" applyFont="1" applyFill="1" applyBorder="1" applyAlignment="1">
      <alignment horizontal="left"/>
    </xf>
    <xf numFmtId="167" fontId="0" fillId="2" borderId="8" xfId="0" applyNumberFormat="1" applyFill="1" applyBorder="1"/>
    <xf numFmtId="49" fontId="0" fillId="2" borderId="33" xfId="0" applyNumberFormat="1" applyFill="1" applyBorder="1" applyAlignment="1">
      <alignment vertical="center" wrapText="1"/>
    </xf>
    <xf numFmtId="49" fontId="6" fillId="6" borderId="34" xfId="0" applyNumberFormat="1" applyFont="1" applyFill="1" applyBorder="1" applyAlignment="1">
      <alignment horizontal="center" vertical="center" wrapText="1"/>
    </xf>
    <xf numFmtId="49" fontId="7" fillId="2" borderId="35" xfId="0" applyNumberFormat="1" applyFont="1" applyFill="1" applyBorder="1" applyAlignment="1">
      <alignment horizontal="center" vertical="center" wrapText="1"/>
    </xf>
    <xf numFmtId="49" fontId="6" fillId="6" borderId="36" xfId="0" applyNumberFormat="1" applyFont="1" applyFill="1" applyBorder="1" applyAlignment="1">
      <alignment horizontal="center" vertical="center" wrapText="1"/>
    </xf>
    <xf numFmtId="49" fontId="7" fillId="2" borderId="37" xfId="0" applyNumberFormat="1" applyFont="1" applyFill="1" applyBorder="1" applyAlignment="1">
      <alignment horizontal="center" vertical="center" wrapText="1"/>
    </xf>
    <xf numFmtId="49" fontId="7" fillId="2" borderId="36" xfId="0" applyNumberFormat="1" applyFont="1" applyFill="1" applyBorder="1" applyAlignment="1">
      <alignment horizontal="center" vertical="center" wrapText="1"/>
    </xf>
    <xf numFmtId="49" fontId="6" fillId="6" borderId="35" xfId="0" applyNumberFormat="1" applyFont="1" applyFill="1" applyBorder="1" applyAlignment="1">
      <alignment horizontal="center" wrapText="1"/>
    </xf>
    <xf numFmtId="49" fontId="7" fillId="2" borderId="38" xfId="0" applyNumberFormat="1" applyFont="1" applyFill="1" applyBorder="1" applyAlignment="1">
      <alignment horizontal="center" vertical="center" wrapText="1"/>
    </xf>
    <xf numFmtId="17" fontId="0" fillId="2" borderId="39" xfId="0" applyNumberFormat="1" applyFill="1" applyBorder="1" applyAlignment="1">
      <alignment horizontal="center"/>
    </xf>
    <xf numFmtId="2" fontId="0" fillId="2" borderId="40" xfId="0" applyNumberFormat="1" applyFill="1" applyBorder="1"/>
    <xf numFmtId="2" fontId="0" fillId="2" borderId="41" xfId="0" applyNumberFormat="1" applyFill="1" applyBorder="1"/>
    <xf numFmtId="2" fontId="0" fillId="2" borderId="39" xfId="0" applyNumberFormat="1" applyFill="1" applyBorder="1"/>
    <xf numFmtId="2" fontId="0" fillId="2" borderId="42" xfId="0" applyNumberFormat="1" applyFill="1" applyBorder="1"/>
    <xf numFmtId="10" fontId="0" fillId="2" borderId="40" xfId="0" applyNumberFormat="1" applyFill="1" applyBorder="1"/>
    <xf numFmtId="10" fontId="0" fillId="2" borderId="39" xfId="0" applyNumberFormat="1" applyFill="1" applyBorder="1"/>
    <xf numFmtId="49" fontId="0" fillId="2" borderId="40" xfId="0" applyNumberFormat="1" applyFill="1" applyBorder="1"/>
    <xf numFmtId="17" fontId="0" fillId="2" borderId="43" xfId="0" applyNumberFormat="1" applyFill="1" applyBorder="1" applyAlignment="1">
      <alignment horizontal="center"/>
    </xf>
    <xf numFmtId="2" fontId="0" fillId="2" borderId="44" xfId="0" applyNumberFormat="1" applyFill="1" applyBorder="1"/>
    <xf numFmtId="2" fontId="0" fillId="2" borderId="45" xfId="0" applyNumberFormat="1" applyFill="1" applyBorder="1"/>
    <xf numFmtId="2" fontId="0" fillId="2" borderId="43" xfId="0" applyNumberFormat="1" applyFill="1" applyBorder="1"/>
    <xf numFmtId="2" fontId="0" fillId="2" borderId="15" xfId="0" applyNumberFormat="1" applyFill="1" applyBorder="1"/>
    <xf numFmtId="10" fontId="0" fillId="2" borderId="44" xfId="0" applyNumberFormat="1" applyFill="1" applyBorder="1"/>
    <xf numFmtId="10" fontId="0" fillId="2" borderId="43" xfId="0" applyNumberFormat="1" applyFill="1" applyBorder="1"/>
    <xf numFmtId="49" fontId="0" fillId="2" borderId="44" xfId="0" applyNumberFormat="1" applyFill="1" applyBorder="1"/>
    <xf numFmtId="17" fontId="0" fillId="2" borderId="46" xfId="0" applyNumberFormat="1" applyFill="1" applyBorder="1" applyAlignment="1">
      <alignment horizontal="center"/>
    </xf>
    <xf numFmtId="2" fontId="0" fillId="2" borderId="47" xfId="0" applyNumberFormat="1" applyFill="1" applyBorder="1"/>
    <xf numFmtId="2" fontId="0" fillId="2" borderId="48" xfId="0" applyNumberFormat="1" applyFill="1" applyBorder="1"/>
    <xf numFmtId="2" fontId="0" fillId="2" borderId="46" xfId="0" applyNumberFormat="1" applyFill="1" applyBorder="1"/>
    <xf numFmtId="2" fontId="0" fillId="2" borderId="29" xfId="0" applyNumberFormat="1" applyFill="1" applyBorder="1"/>
    <xf numFmtId="10" fontId="0" fillId="2" borderId="47" xfId="0" applyNumberFormat="1" applyFill="1" applyBorder="1"/>
    <xf numFmtId="10" fontId="0" fillId="2" borderId="46" xfId="0" applyNumberFormat="1" applyFill="1" applyBorder="1"/>
    <xf numFmtId="49" fontId="0" fillId="2" borderId="47" xfId="0" applyNumberFormat="1" applyFill="1" applyBorder="1"/>
    <xf numFmtId="2" fontId="0" fillId="2" borderId="24" xfId="0" applyNumberFormat="1" applyFill="1" applyBorder="1"/>
    <xf numFmtId="166" fontId="0" fillId="2" borderId="42" xfId="0" applyNumberFormat="1" applyFill="1" applyBorder="1"/>
    <xf numFmtId="166" fontId="0" fillId="2" borderId="15" xfId="0" applyNumberFormat="1" applyFill="1" applyBorder="1"/>
    <xf numFmtId="166" fontId="0" fillId="2" borderId="29" xfId="0" applyNumberFormat="1" applyFill="1" applyBorder="1"/>
    <xf numFmtId="2" fontId="5" fillId="2" borderId="44" xfId="0" applyNumberFormat="1" applyFont="1" applyFill="1" applyBorder="1" applyAlignment="1">
      <alignment horizontal="left"/>
    </xf>
    <xf numFmtId="2" fontId="5" fillId="2" borderId="47" xfId="0" applyNumberFormat="1" applyFont="1" applyFill="1" applyBorder="1" applyAlignment="1">
      <alignment horizontal="left"/>
    </xf>
    <xf numFmtId="2" fontId="5" fillId="2" borderId="40" xfId="0" applyNumberFormat="1" applyFont="1" applyFill="1" applyBorder="1" applyAlignment="1">
      <alignment horizontal="left"/>
    </xf>
    <xf numFmtId="2" fontId="0" fillId="2" borderId="47" xfId="0" applyNumberFormat="1" applyFill="1" applyBorder="1" applyAlignment="1">
      <alignment horizontal="right"/>
    </xf>
    <xf numFmtId="2" fontId="0" fillId="2" borderId="48" xfId="0" applyNumberFormat="1" applyFill="1" applyBorder="1" applyAlignment="1">
      <alignment horizontal="right"/>
    </xf>
    <xf numFmtId="2" fontId="0" fillId="2" borderId="46" xfId="0" applyNumberFormat="1" applyFill="1" applyBorder="1" applyAlignment="1">
      <alignment horizontal="right"/>
    </xf>
    <xf numFmtId="49" fontId="5" fillId="2" borderId="44" xfId="0" applyNumberFormat="1" applyFont="1" applyFill="1" applyBorder="1" applyAlignment="1">
      <alignment horizontal="left"/>
    </xf>
    <xf numFmtId="49" fontId="0" fillId="2" borderId="43" xfId="0" applyNumberFormat="1" applyFill="1" applyBorder="1" applyAlignment="1">
      <alignment horizontal="center"/>
    </xf>
    <xf numFmtId="2" fontId="0" fillId="2" borderId="44" xfId="0" applyNumberFormat="1" applyFill="1" applyBorder="1" applyAlignment="1">
      <alignment horizontal="right"/>
    </xf>
    <xf numFmtId="2" fontId="0" fillId="2" borderId="45" xfId="0" applyNumberFormat="1" applyFill="1" applyBorder="1" applyAlignment="1">
      <alignment horizontal="right"/>
    </xf>
    <xf numFmtId="2" fontId="0" fillId="2" borderId="43" xfId="0" applyNumberFormat="1" applyFill="1" applyBorder="1" applyAlignment="1">
      <alignment horizontal="right"/>
    </xf>
    <xf numFmtId="2" fontId="0" fillId="2" borderId="44" xfId="0" applyNumberFormat="1" applyFill="1" applyBorder="1" applyAlignment="1">
      <alignment horizontal="left"/>
    </xf>
    <xf numFmtId="49" fontId="5" fillId="2" borderId="47" xfId="0" applyNumberFormat="1" applyFont="1" applyFill="1" applyBorder="1" applyAlignment="1">
      <alignment horizontal="left"/>
    </xf>
    <xf numFmtId="49" fontId="5" fillId="2" borderId="40" xfId="0" applyNumberFormat="1" applyFont="1" applyFill="1" applyBorder="1" applyAlignment="1">
      <alignment horizontal="left"/>
    </xf>
    <xf numFmtId="2" fontId="0" fillId="2" borderId="40" xfId="0" applyNumberFormat="1" applyFill="1" applyBorder="1" applyAlignment="1">
      <alignment horizontal="right"/>
    </xf>
    <xf numFmtId="2" fontId="0" fillId="2" borderId="41" xfId="0" applyNumberFormat="1" applyFill="1" applyBorder="1" applyAlignment="1">
      <alignment horizontal="right"/>
    </xf>
    <xf numFmtId="2" fontId="0" fillId="2" borderId="39" xfId="0" applyNumberFormat="1" applyFill="1" applyBorder="1" applyAlignment="1">
      <alignment horizontal="right"/>
    </xf>
    <xf numFmtId="2" fontId="0" fillId="2" borderId="42" xfId="0" applyNumberFormat="1" applyFill="1" applyBorder="1" applyAlignment="1">
      <alignment horizontal="right"/>
    </xf>
    <xf numFmtId="2" fontId="5" fillId="2" borderId="41" xfId="0" applyNumberFormat="1" applyFont="1" applyFill="1" applyBorder="1" applyAlignment="1">
      <alignment horizontal="left"/>
    </xf>
    <xf numFmtId="2" fontId="5" fillId="2" borderId="45" xfId="0" applyNumberFormat="1" applyFont="1" applyFill="1" applyBorder="1" applyAlignment="1">
      <alignment horizontal="left"/>
    </xf>
    <xf numFmtId="49" fontId="5" fillId="2" borderId="45" xfId="0" applyNumberFormat="1" applyFont="1" applyFill="1" applyBorder="1" applyAlignment="1">
      <alignment horizontal="left"/>
    </xf>
    <xf numFmtId="168" fontId="0" fillId="2" borderId="5" xfId="0" applyNumberFormat="1" applyFill="1" applyBorder="1" applyAlignment="1">
      <alignment horizontal="right"/>
    </xf>
    <xf numFmtId="0" fontId="5" fillId="2" borderId="26" xfId="0" applyFont="1" applyFill="1" applyBorder="1"/>
    <xf numFmtId="0" fontId="5" fillId="2" borderId="6" xfId="0" applyFont="1" applyFill="1" applyBorder="1"/>
    <xf numFmtId="167" fontId="0" fillId="2" borderId="5" xfId="0" applyNumberFormat="1" applyFill="1" applyBorder="1"/>
    <xf numFmtId="167" fontId="0" fillId="2" borderId="31" xfId="0" applyNumberFormat="1" applyFill="1" applyBorder="1"/>
    <xf numFmtId="49" fontId="7" fillId="2" borderId="15" xfId="0" applyNumberFormat="1" applyFont="1" applyFill="1" applyBorder="1" applyAlignment="1">
      <alignment horizontal="right"/>
    </xf>
    <xf numFmtId="0" fontId="0" fillId="0" borderId="4" xfId="0" applyFill="1" applyBorder="1"/>
    <xf numFmtId="0" fontId="0" fillId="0" borderId="5" xfId="0" applyFill="1" applyBorder="1"/>
    <xf numFmtId="164" fontId="0" fillId="0" borderId="5" xfId="0" applyNumberFormat="1" applyFill="1" applyBorder="1"/>
    <xf numFmtId="0" fontId="0" fillId="0" borderId="6" xfId="0" applyFill="1" applyBorder="1"/>
    <xf numFmtId="0" fontId="0" fillId="0" borderId="0" xfId="0" applyNumberFormat="1" applyFill="1"/>
    <xf numFmtId="0" fontId="7" fillId="2" borderId="15" xfId="0" applyNumberFormat="1" applyFont="1" applyFill="1" applyBorder="1" applyAlignment="1">
      <alignment horizontal="right"/>
    </xf>
    <xf numFmtId="0" fontId="7" fillId="2" borderId="21" xfId="0" applyNumberFormat="1" applyFont="1" applyFill="1" applyBorder="1" applyAlignment="1">
      <alignment horizontal="right"/>
    </xf>
    <xf numFmtId="166" fontId="0" fillId="0" borderId="7" xfId="0" applyNumberFormat="1" applyFill="1" applyBorder="1" applyAlignment="1">
      <alignment horizontal="center"/>
    </xf>
    <xf numFmtId="2" fontId="0" fillId="0" borderId="44" xfId="0" applyNumberFormat="1" applyFill="1" applyBorder="1"/>
    <xf numFmtId="2" fontId="0" fillId="0" borderId="43" xfId="0" applyNumberFormat="1" applyFill="1" applyBorder="1"/>
    <xf numFmtId="2" fontId="0" fillId="0" borderId="15" xfId="0" applyNumberFormat="1" applyFill="1" applyBorder="1" applyAlignment="1">
      <alignment horizontal="right"/>
    </xf>
    <xf numFmtId="10" fontId="0" fillId="0" borderId="44" xfId="0" applyNumberFormat="1" applyFill="1" applyBorder="1"/>
    <xf numFmtId="10" fontId="0" fillId="0" borderId="43" xfId="0" applyNumberFormat="1" applyFill="1" applyBorder="1"/>
    <xf numFmtId="2" fontId="0" fillId="2" borderId="52" xfId="0" applyNumberFormat="1" applyFill="1" applyBorder="1" applyAlignment="1">
      <alignment horizontal="right"/>
    </xf>
    <xf numFmtId="2" fontId="0" fillId="2" borderId="12" xfId="0" applyNumberFormat="1" applyFill="1" applyBorder="1" applyAlignment="1">
      <alignment horizontal="right"/>
    </xf>
    <xf numFmtId="2" fontId="0" fillId="0" borderId="12" xfId="0" applyNumberFormat="1" applyFill="1" applyBorder="1" applyAlignment="1">
      <alignment horizontal="right"/>
    </xf>
    <xf numFmtId="165" fontId="7" fillId="2" borderId="19" xfId="1" applyNumberFormat="1" applyFont="1" applyFill="1" applyBorder="1"/>
    <xf numFmtId="170" fontId="2" fillId="0" borderId="54" xfId="42" applyNumberFormat="1" applyFill="1" applyBorder="1"/>
    <xf numFmtId="170" fontId="2" fillId="0" borderId="53" xfId="42" applyNumberFormat="1" applyFill="1" applyBorder="1"/>
    <xf numFmtId="166" fontId="0" fillId="0" borderId="12" xfId="0" applyNumberFormat="1" applyFill="1" applyBorder="1" applyAlignment="1">
      <alignment horizontal="center"/>
    </xf>
    <xf numFmtId="166" fontId="0" fillId="0" borderId="5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17" fontId="0" fillId="0" borderId="43" xfId="0" applyNumberFormat="1" applyFill="1" applyBorder="1" applyAlignment="1">
      <alignment horizontal="center"/>
    </xf>
    <xf numFmtId="2" fontId="0" fillId="2" borderId="65" xfId="0" applyNumberFormat="1" applyFill="1" applyBorder="1" applyAlignment="1">
      <alignment horizontal="right"/>
    </xf>
    <xf numFmtId="2" fontId="0" fillId="2" borderId="8" xfId="0" applyNumberFormat="1" applyFill="1" applyBorder="1" applyAlignment="1">
      <alignment horizontal="right"/>
    </xf>
    <xf numFmtId="2" fontId="0" fillId="0" borderId="8" xfId="0" applyNumberFormat="1" applyFill="1" applyBorder="1" applyAlignment="1">
      <alignment horizontal="right"/>
    </xf>
    <xf numFmtId="2" fontId="0" fillId="0" borderId="66" xfId="0" applyNumberFormat="1" applyFill="1" applyBorder="1" applyAlignment="1">
      <alignment horizontal="right"/>
    </xf>
    <xf numFmtId="2" fontId="0" fillId="2" borderId="53" xfId="0" applyNumberFormat="1" applyFill="1" applyBorder="1" applyAlignment="1">
      <alignment horizontal="right"/>
    </xf>
    <xf numFmtId="2" fontId="0" fillId="2" borderId="54" xfId="0" applyNumberFormat="1" applyFill="1" applyBorder="1" applyAlignment="1">
      <alignment horizontal="right"/>
    </xf>
    <xf numFmtId="2" fontId="0" fillId="0" borderId="54" xfId="0" applyNumberFormat="1" applyFill="1" applyBorder="1" applyAlignment="1">
      <alignment horizontal="right"/>
    </xf>
    <xf numFmtId="17" fontId="0" fillId="0" borderId="67" xfId="0" applyNumberFormat="1" applyFill="1" applyBorder="1" applyAlignment="1">
      <alignment horizontal="center"/>
    </xf>
    <xf numFmtId="2" fontId="0" fillId="0" borderId="68" xfId="0" applyNumberFormat="1" applyFill="1" applyBorder="1" applyAlignment="1">
      <alignment horizontal="right"/>
    </xf>
    <xf numFmtId="2" fontId="0" fillId="0" borderId="53" xfId="0" applyNumberFormat="1" applyFill="1" applyBorder="1" applyAlignment="1">
      <alignment horizontal="right"/>
    </xf>
    <xf numFmtId="2" fontId="0" fillId="0" borderId="69" xfId="0" applyNumberFormat="1" applyFill="1" applyBorder="1" applyAlignment="1">
      <alignment horizontal="right"/>
    </xf>
    <xf numFmtId="2" fontId="0" fillId="0" borderId="70" xfId="0" applyNumberFormat="1" applyFill="1" applyBorder="1"/>
    <xf numFmtId="2" fontId="0" fillId="0" borderId="71" xfId="0" applyNumberFormat="1" applyFill="1" applyBorder="1"/>
    <xf numFmtId="2" fontId="0" fillId="0" borderId="72" xfId="0" applyNumberFormat="1" applyFill="1" applyBorder="1" applyAlignment="1">
      <alignment horizontal="right"/>
    </xf>
    <xf numFmtId="10" fontId="0" fillId="0" borderId="70" xfId="0" applyNumberFormat="1" applyFill="1" applyBorder="1"/>
    <xf numFmtId="10" fontId="0" fillId="0" borderId="71" xfId="0" applyNumberFormat="1" applyFill="1" applyBorder="1"/>
    <xf numFmtId="2" fontId="0" fillId="0" borderId="73" xfId="0" applyNumberFormat="1" applyFill="1" applyBorder="1" applyAlignment="1">
      <alignment horizontal="right"/>
    </xf>
    <xf numFmtId="17" fontId="0" fillId="0" borderId="74" xfId="0" applyNumberFormat="1" applyFill="1" applyBorder="1" applyAlignment="1">
      <alignment horizontal="center"/>
    </xf>
    <xf numFmtId="17" fontId="0" fillId="2" borderId="76" xfId="0" applyNumberFormat="1" applyFill="1" applyBorder="1" applyAlignment="1">
      <alignment horizontal="center"/>
    </xf>
    <xf numFmtId="2" fontId="0" fillId="0" borderId="75" xfId="0" applyNumberFormat="1" applyFill="1" applyBorder="1" applyAlignment="1">
      <alignment horizontal="right"/>
    </xf>
    <xf numFmtId="0" fontId="0" fillId="0" borderId="53" xfId="0" applyNumberFormat="1" applyFill="1" applyBorder="1"/>
    <xf numFmtId="0" fontId="0" fillId="0" borderId="54" xfId="0" applyNumberFormat="1" applyFill="1" applyBorder="1"/>
    <xf numFmtId="0" fontId="0" fillId="0" borderId="54" xfId="0" applyNumberFormat="1" applyBorder="1"/>
    <xf numFmtId="170" fontId="2" fillId="0" borderId="55" xfId="42" applyNumberFormat="1" applyFill="1" applyBorder="1"/>
    <xf numFmtId="2" fontId="0" fillId="41" borderId="54" xfId="0" applyNumberFormat="1" applyFill="1" applyBorder="1" applyAlignment="1">
      <alignment horizontal="right"/>
    </xf>
    <xf numFmtId="2" fontId="0" fillId="41" borderId="66" xfId="0" applyNumberFormat="1" applyFill="1" applyBorder="1" applyAlignment="1">
      <alignment horizontal="right"/>
    </xf>
    <xf numFmtId="2" fontId="0" fillId="41" borderId="15" xfId="0" applyNumberFormat="1" applyFill="1" applyBorder="1" applyAlignment="1">
      <alignment horizontal="right"/>
    </xf>
    <xf numFmtId="10" fontId="0" fillId="41" borderId="44" xfId="0" applyNumberFormat="1" applyFill="1" applyBorder="1"/>
    <xf numFmtId="10" fontId="0" fillId="41" borderId="43" xfId="0" applyNumberFormat="1" applyFill="1" applyBorder="1"/>
    <xf numFmtId="2" fontId="0" fillId="41" borderId="75" xfId="0" applyNumberFormat="1" applyFill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2" fontId="0" fillId="0" borderId="77" xfId="0" applyNumberFormat="1" applyFill="1" applyBorder="1" applyAlignment="1">
      <alignment horizontal="right"/>
    </xf>
    <xf numFmtId="2" fontId="0" fillId="0" borderId="55" xfId="0" applyNumberFormat="1" applyFill="1" applyBorder="1" applyAlignment="1">
      <alignment horizontal="right"/>
    </xf>
    <xf numFmtId="2" fontId="0" fillId="0" borderId="78" xfId="0" applyNumberFormat="1" applyFill="1" applyBorder="1" applyAlignment="1">
      <alignment horizontal="right"/>
    </xf>
    <xf numFmtId="2" fontId="0" fillId="0" borderId="79" xfId="0" applyNumberFormat="1" applyFill="1" applyBorder="1"/>
    <xf numFmtId="2" fontId="0" fillId="0" borderId="80" xfId="0" applyNumberFormat="1" applyFill="1" applyBorder="1"/>
    <xf numFmtId="2" fontId="0" fillId="0" borderId="81" xfId="0" applyNumberFormat="1" applyFill="1" applyBorder="1" applyAlignment="1">
      <alignment horizontal="right"/>
    </xf>
    <xf numFmtId="10" fontId="0" fillId="0" borderId="79" xfId="0" applyNumberFormat="1" applyFill="1" applyBorder="1"/>
    <xf numFmtId="10" fontId="0" fillId="0" borderId="80" xfId="0" applyNumberFormat="1" applyFill="1" applyBorder="1"/>
    <xf numFmtId="2" fontId="0" fillId="0" borderId="82" xfId="0" applyNumberFormat="1" applyFill="1" applyBorder="1" applyAlignment="1">
      <alignment horizontal="right"/>
    </xf>
    <xf numFmtId="0" fontId="0" fillId="0" borderId="53" xfId="0" applyNumberFormat="1" applyBorder="1"/>
    <xf numFmtId="170" fontId="2" fillId="0" borderId="5" xfId="42" applyNumberFormat="1" applyFill="1" applyBorder="1"/>
    <xf numFmtId="2" fontId="5" fillId="2" borderId="5" xfId="0" applyNumberFormat="1" applyFont="1" applyFill="1" applyBorder="1"/>
    <xf numFmtId="165" fontId="7" fillId="2" borderId="5" xfId="1" applyNumberFormat="1" applyFont="1" applyFill="1" applyBorder="1"/>
    <xf numFmtId="0" fontId="13" fillId="0" borderId="54" xfId="0" applyNumberFormat="1" applyFont="1" applyBorder="1"/>
    <xf numFmtId="9" fontId="0" fillId="2" borderId="19" xfId="1" applyFont="1" applyFill="1" applyBorder="1"/>
    <xf numFmtId="0" fontId="0" fillId="0" borderId="19" xfId="0" applyFill="1" applyBorder="1"/>
    <xf numFmtId="2" fontId="0" fillId="0" borderId="19" xfId="0" applyNumberFormat="1" applyFill="1" applyBorder="1" applyAlignment="1">
      <alignment horizontal="center"/>
    </xf>
    <xf numFmtId="0" fontId="0" fillId="0" borderId="5" xfId="0" applyNumberFormat="1" applyBorder="1"/>
    <xf numFmtId="0" fontId="0" fillId="0" borderId="16" xfId="0" applyFill="1" applyBorder="1"/>
    <xf numFmtId="0" fontId="0" fillId="0" borderId="5" xfId="0" applyNumberFormat="1" applyFill="1" applyBorder="1"/>
    <xf numFmtId="2" fontId="0" fillId="42" borderId="5" xfId="0" applyNumberFormat="1" applyFill="1" applyBorder="1" applyAlignment="1">
      <alignment horizontal="center"/>
    </xf>
    <xf numFmtId="9" fontId="0" fillId="2" borderId="16" xfId="1" applyFont="1" applyFill="1" applyBorder="1"/>
    <xf numFmtId="9" fontId="0" fillId="2" borderId="5" xfId="1" applyFont="1" applyFill="1" applyBorder="1"/>
    <xf numFmtId="2" fontId="0" fillId="43" borderId="5" xfId="0" applyNumberFormat="1" applyFill="1" applyBorder="1" applyAlignment="1">
      <alignment horizontal="center"/>
    </xf>
    <xf numFmtId="166" fontId="0" fillId="42" borderId="5" xfId="0" applyNumberFormat="1" applyFill="1" applyBorder="1" applyAlignment="1">
      <alignment horizontal="center"/>
    </xf>
    <xf numFmtId="166" fontId="0" fillId="43" borderId="5" xfId="0" applyNumberFormat="1" applyFill="1" applyBorder="1" applyAlignment="1">
      <alignment horizontal="center"/>
    </xf>
    <xf numFmtId="171" fontId="0" fillId="0" borderId="0" xfId="0" applyNumberFormat="1"/>
    <xf numFmtId="2" fontId="0" fillId="0" borderId="83" xfId="0" applyNumberFormat="1" applyFill="1" applyBorder="1" applyAlignment="1">
      <alignment horizontal="right"/>
    </xf>
    <xf numFmtId="0" fontId="13" fillId="0" borderId="53" xfId="0" applyNumberFormat="1" applyFont="1" applyBorder="1"/>
    <xf numFmtId="10" fontId="0" fillId="0" borderId="0" xfId="1" applyNumberFormat="1" applyFont="1"/>
    <xf numFmtId="2" fontId="7" fillId="0" borderId="5" xfId="0" applyNumberFormat="1" applyFont="1" applyFill="1" applyBorder="1"/>
    <xf numFmtId="0" fontId="0" fillId="0" borderId="8" xfId="0" applyFill="1" applyBorder="1"/>
    <xf numFmtId="0" fontId="7" fillId="2" borderId="84" xfId="0" applyNumberFormat="1" applyFont="1" applyFill="1" applyBorder="1"/>
    <xf numFmtId="0" fontId="7" fillId="2" borderId="85" xfId="0" applyNumberFormat="1" applyFont="1" applyFill="1" applyBorder="1"/>
    <xf numFmtId="0" fontId="7" fillId="2" borderId="85" xfId="0" applyNumberFormat="1" applyFont="1" applyFill="1" applyBorder="1" applyAlignment="1">
      <alignment horizontal="right"/>
    </xf>
    <xf numFmtId="0" fontId="7" fillId="0" borderId="85" xfId="0" applyNumberFormat="1" applyFont="1" applyFill="1" applyBorder="1" applyAlignment="1">
      <alignment horizontal="right"/>
    </xf>
    <xf numFmtId="0" fontId="7" fillId="0" borderId="86" xfId="0" applyNumberFormat="1" applyFont="1" applyFill="1" applyBorder="1" applyAlignment="1">
      <alignment horizontal="right"/>
    </xf>
    <xf numFmtId="49" fontId="8" fillId="2" borderId="87" xfId="0" applyNumberFormat="1" applyFont="1" applyFill="1" applyBorder="1"/>
    <xf numFmtId="49" fontId="7" fillId="2" borderId="88" xfId="0" applyNumberFormat="1" applyFont="1" applyFill="1" applyBorder="1"/>
    <xf numFmtId="49" fontId="7" fillId="2" borderId="89" xfId="0" applyNumberFormat="1" applyFont="1" applyFill="1" applyBorder="1"/>
    <xf numFmtId="49" fontId="7" fillId="2" borderId="90" xfId="0" applyNumberFormat="1" applyFont="1" applyFill="1" applyBorder="1"/>
    <xf numFmtId="49" fontId="7" fillId="2" borderId="91" xfId="0" applyNumberFormat="1" applyFont="1" applyFill="1" applyBorder="1"/>
    <xf numFmtId="0" fontId="7" fillId="2" borderId="92" xfId="0" applyFont="1" applyFill="1" applyBorder="1"/>
    <xf numFmtId="9" fontId="7" fillId="2" borderId="93" xfId="0" applyNumberFormat="1" applyFont="1" applyFill="1" applyBorder="1"/>
    <xf numFmtId="9" fontId="7" fillId="0" borderId="93" xfId="0" applyNumberFormat="1" applyFont="1" applyFill="1" applyBorder="1"/>
    <xf numFmtId="2" fontId="7" fillId="0" borderId="94" xfId="0" applyNumberFormat="1" applyFont="1" applyFill="1" applyBorder="1"/>
    <xf numFmtId="9" fontId="7" fillId="0" borderId="95" xfId="0" applyNumberFormat="1" applyFont="1" applyFill="1" applyBorder="1"/>
    <xf numFmtId="2" fontId="7" fillId="2" borderId="19" xfId="0" applyNumberFormat="1" applyFont="1" applyFill="1" applyBorder="1"/>
    <xf numFmtId="49" fontId="7" fillId="2" borderId="96" xfId="0" applyNumberFormat="1" applyFont="1" applyFill="1" applyBorder="1"/>
    <xf numFmtId="49" fontId="7" fillId="2" borderId="97" xfId="0" applyNumberFormat="1" applyFont="1" applyFill="1" applyBorder="1"/>
    <xf numFmtId="2" fontId="7" fillId="2" borderId="98" xfId="0" applyNumberFormat="1" applyFont="1" applyFill="1" applyBorder="1"/>
    <xf numFmtId="0" fontId="7" fillId="2" borderId="99" xfId="0" applyFont="1" applyFill="1" applyBorder="1"/>
    <xf numFmtId="2" fontId="7" fillId="2" borderId="100" xfId="0" applyNumberFormat="1" applyFont="1" applyFill="1" applyBorder="1"/>
    <xf numFmtId="2" fontId="7" fillId="0" borderId="100" xfId="0" applyNumberFormat="1" applyFont="1" applyFill="1" applyBorder="1"/>
    <xf numFmtId="2" fontId="7" fillId="0" borderId="101" xfId="0" applyNumberFormat="1" applyFont="1" applyFill="1" applyBorder="1"/>
    <xf numFmtId="165" fontId="0" fillId="2" borderId="5" xfId="0" applyNumberFormat="1" applyFill="1" applyBorder="1"/>
    <xf numFmtId="49" fontId="8" fillId="2" borderId="17" xfId="0" applyNumberFormat="1" applyFont="1" applyFill="1" applyBorder="1"/>
    <xf numFmtId="49" fontId="7" fillId="2" borderId="18" xfId="0" applyNumberFormat="1" applyFont="1" applyFill="1" applyBorder="1"/>
    <xf numFmtId="49" fontId="7" fillId="2" borderId="19" xfId="0" applyNumberFormat="1" applyFont="1" applyFill="1" applyBorder="1"/>
    <xf numFmtId="49" fontId="7" fillId="2" borderId="20" xfId="0" applyNumberFormat="1" applyFont="1" applyFill="1" applyBorder="1"/>
    <xf numFmtId="2" fontId="0" fillId="2" borderId="98" xfId="0" applyNumberFormat="1" applyFill="1" applyBorder="1" applyAlignment="1">
      <alignment horizontal="center"/>
    </xf>
    <xf numFmtId="2" fontId="0" fillId="2" borderId="102" xfId="0" applyNumberFormat="1" applyFill="1" applyBorder="1" applyAlignment="1">
      <alignment horizontal="center"/>
    </xf>
    <xf numFmtId="2" fontId="0" fillId="2" borderId="100" xfId="0" applyNumberFormat="1" applyFill="1" applyBorder="1" applyAlignment="1">
      <alignment horizontal="center"/>
    </xf>
    <xf numFmtId="2" fontId="0" fillId="4" borderId="100" xfId="0" applyNumberFormat="1" applyFill="1" applyBorder="1" applyAlignment="1">
      <alignment horizontal="center"/>
    </xf>
    <xf numFmtId="2" fontId="0" fillId="0" borderId="100" xfId="0" applyNumberFormat="1" applyFill="1" applyBorder="1" applyAlignment="1">
      <alignment horizontal="center"/>
    </xf>
    <xf numFmtId="2" fontId="0" fillId="43" borderId="100" xfId="0" applyNumberFormat="1" applyFill="1" applyBorder="1" applyAlignment="1">
      <alignment horizontal="center"/>
    </xf>
    <xf numFmtId="2" fontId="7" fillId="2" borderId="102" xfId="0" applyNumberFormat="1" applyFont="1" applyFill="1" applyBorder="1"/>
    <xf numFmtId="0" fontId="0" fillId="2" borderId="6" xfId="0" applyFill="1" applyBorder="1" applyAlignment="1">
      <alignment wrapText="1"/>
    </xf>
    <xf numFmtId="49" fontId="8" fillId="0" borderId="17" xfId="0" applyNumberFormat="1" applyFont="1" applyBorder="1"/>
    <xf numFmtId="0" fontId="7" fillId="0" borderId="84" xfId="0" applyNumberFormat="1" applyFont="1" applyBorder="1"/>
    <xf numFmtId="0" fontId="7" fillId="0" borderId="85" xfId="0" applyNumberFormat="1" applyFont="1" applyBorder="1"/>
    <xf numFmtId="17" fontId="0" fillId="0" borderId="76" xfId="0" applyNumberFormat="1" applyFill="1" applyBorder="1" applyAlignment="1">
      <alignment horizontal="center"/>
    </xf>
    <xf numFmtId="2" fontId="0" fillId="7" borderId="55" xfId="0" applyNumberFormat="1" applyFill="1" applyBorder="1" applyAlignment="1">
      <alignment horizontal="right"/>
    </xf>
    <xf numFmtId="2" fontId="0" fillId="7" borderId="103" xfId="0" applyNumberFormat="1" applyFill="1" applyBorder="1" applyAlignment="1">
      <alignment horizontal="right"/>
    </xf>
    <xf numFmtId="2" fontId="0" fillId="7" borderId="79" xfId="0" applyNumberFormat="1" applyFill="1" applyBorder="1"/>
    <xf numFmtId="2" fontId="0" fillId="7" borderId="80" xfId="0" applyNumberFormat="1" applyFill="1" applyBorder="1"/>
    <xf numFmtId="2" fontId="0" fillId="7" borderId="81" xfId="0" applyNumberFormat="1" applyFill="1" applyBorder="1" applyAlignment="1">
      <alignment horizontal="right"/>
    </xf>
    <xf numFmtId="10" fontId="0" fillId="7" borderId="79" xfId="0" applyNumberFormat="1" applyFill="1" applyBorder="1"/>
    <xf numFmtId="10" fontId="0" fillId="7" borderId="80" xfId="0" applyNumberFormat="1" applyFill="1" applyBorder="1"/>
    <xf numFmtId="2" fontId="0" fillId="7" borderId="82" xfId="0" applyNumberFormat="1" applyFill="1" applyBorder="1" applyAlignment="1">
      <alignment horizontal="right"/>
    </xf>
    <xf numFmtId="0" fontId="13" fillId="0" borderId="55" xfId="0" applyNumberFormat="1" applyFont="1" applyBorder="1"/>
    <xf numFmtId="2" fontId="13" fillId="7" borderId="94" xfId="0" applyNumberFormat="1" applyFont="1" applyFill="1" applyBorder="1" applyAlignment="1">
      <alignment horizontal="center"/>
    </xf>
    <xf numFmtId="166" fontId="0" fillId="42" borderId="12" xfId="0" applyNumberFormat="1" applyFill="1" applyBorder="1" applyAlignment="1">
      <alignment horizontal="center"/>
    </xf>
    <xf numFmtId="0" fontId="13" fillId="0" borderId="5" xfId="0" applyNumberFormat="1" applyFont="1" applyBorder="1"/>
    <xf numFmtId="2" fontId="0" fillId="0" borderId="103" xfId="0" applyNumberFormat="1" applyFill="1" applyBorder="1" applyAlignment="1">
      <alignment horizontal="right"/>
    </xf>
    <xf numFmtId="2" fontId="0" fillId="42" borderId="5" xfId="0" applyNumberFormat="1" applyFill="1" applyBorder="1" applyAlignment="1">
      <alignment horizontal="right"/>
    </xf>
    <xf numFmtId="2" fontId="0" fillId="42" borderId="54" xfId="0" applyNumberFormat="1" applyFill="1" applyBorder="1" applyAlignment="1">
      <alignment horizontal="right"/>
    </xf>
    <xf numFmtId="2" fontId="0" fillId="42" borderId="53" xfId="0" applyNumberFormat="1" applyFill="1" applyBorder="1" applyAlignment="1">
      <alignment horizontal="right"/>
    </xf>
    <xf numFmtId="2" fontId="0" fillId="42" borderId="12" xfId="0" applyNumberFormat="1" applyFill="1" applyBorder="1" applyAlignment="1">
      <alignment horizontal="right"/>
    </xf>
    <xf numFmtId="2" fontId="0" fillId="42" borderId="44" xfId="0" applyNumberFormat="1" applyFill="1" applyBorder="1" applyAlignment="1">
      <alignment horizontal="right"/>
    </xf>
    <xf numFmtId="0" fontId="13" fillId="7" borderId="54" xfId="0" applyNumberFormat="1" applyFont="1" applyFill="1" applyBorder="1"/>
    <xf numFmtId="17" fontId="0" fillId="7" borderId="76" xfId="0" applyNumberFormat="1" applyFill="1" applyBorder="1" applyAlignment="1">
      <alignment horizontal="center"/>
    </xf>
    <xf numFmtId="0" fontId="13" fillId="7" borderId="55" xfId="0" applyNumberFormat="1" applyFont="1" applyFill="1" applyBorder="1"/>
    <xf numFmtId="2" fontId="5" fillId="0" borderId="101" xfId="0" applyNumberFormat="1" applyFont="1" applyFill="1" applyBorder="1" applyAlignment="1">
      <alignment horizontal="center"/>
    </xf>
    <xf numFmtId="2" fontId="13" fillId="0" borderId="94" xfId="0" applyNumberFormat="1" applyFont="1" applyFill="1" applyBorder="1" applyAlignment="1">
      <alignment horizontal="center"/>
    </xf>
    <xf numFmtId="2" fontId="5" fillId="0" borderId="94" xfId="0" applyNumberFormat="1" applyFont="1" applyFill="1" applyBorder="1" applyAlignment="1">
      <alignment horizontal="center"/>
    </xf>
    <xf numFmtId="2" fontId="13" fillId="0" borderId="94" xfId="0" applyNumberFormat="1" applyFont="1" applyFill="1" applyBorder="1"/>
    <xf numFmtId="0" fontId="13" fillId="0" borderId="54" xfId="0" applyNumberFormat="1" applyFont="1" applyFill="1" applyBorder="1"/>
    <xf numFmtId="166" fontId="0" fillId="7" borderId="7" xfId="0" applyNumberFormat="1" applyFill="1" applyBorder="1" applyAlignment="1">
      <alignment horizontal="center"/>
    </xf>
    <xf numFmtId="2" fontId="0" fillId="7" borderId="5" xfId="0" applyNumberFormat="1" applyFill="1" applyBorder="1" applyAlignment="1">
      <alignment horizontal="right"/>
    </xf>
    <xf numFmtId="17" fontId="0" fillId="7" borderId="74" xfId="0" applyNumberFormat="1" applyFill="1" applyBorder="1" applyAlignment="1">
      <alignment horizontal="center"/>
    </xf>
    <xf numFmtId="2" fontId="0" fillId="7" borderId="54" xfId="0" applyNumberFormat="1" applyFill="1" applyBorder="1" applyAlignment="1">
      <alignment horizontal="right"/>
    </xf>
    <xf numFmtId="2" fontId="0" fillId="7" borderId="44" xfId="0" applyNumberFormat="1" applyFill="1" applyBorder="1"/>
    <xf numFmtId="2" fontId="0" fillId="7" borderId="43" xfId="0" applyNumberFormat="1" applyFill="1" applyBorder="1"/>
    <xf numFmtId="2" fontId="0" fillId="7" borderId="15" xfId="0" applyNumberFormat="1" applyFill="1" applyBorder="1" applyAlignment="1">
      <alignment horizontal="right"/>
    </xf>
    <xf numFmtId="10" fontId="0" fillId="7" borderId="44" xfId="0" applyNumberFormat="1" applyFill="1" applyBorder="1"/>
    <xf numFmtId="10" fontId="0" fillId="7" borderId="43" xfId="0" applyNumberFormat="1" applyFill="1" applyBorder="1"/>
    <xf numFmtId="2" fontId="0" fillId="7" borderId="75" xfId="0" applyNumberFormat="1" applyFill="1" applyBorder="1" applyAlignment="1">
      <alignment horizontal="right"/>
    </xf>
    <xf numFmtId="49" fontId="7" fillId="2" borderId="9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2" fontId="5" fillId="2" borderId="25" xfId="0" applyNumberFormat="1" applyFont="1" applyFill="1" applyBorder="1" applyAlignment="1">
      <alignment horizontal="center" wrapText="1"/>
    </xf>
    <xf numFmtId="2" fontId="5" fillId="2" borderId="5" xfId="0" applyNumberFormat="1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49" fontId="7" fillId="2" borderId="9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0" fillId="2" borderId="9" xfId="0" applyNumberForma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49" fontId="0" fillId="2" borderId="49" xfId="0" applyNumberFormat="1" applyFill="1" applyBorder="1" applyAlignment="1">
      <alignment horizontal="center"/>
    </xf>
    <xf numFmtId="0" fontId="0" fillId="2" borderId="50" xfId="0" applyFill="1" applyBorder="1"/>
    <xf numFmtId="0" fontId="0" fillId="2" borderId="51" xfId="0" applyFill="1" applyBorder="1" applyAlignment="1">
      <alignment horizontal="center"/>
    </xf>
    <xf numFmtId="49" fontId="10" fillId="6" borderId="12" xfId="0" applyNumberFormat="1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49" fontId="12" fillId="2" borderId="9" xfId="0" applyNumberFormat="1" applyFont="1" applyFill="1" applyBorder="1" applyAlignment="1">
      <alignment horizontal="center"/>
    </xf>
    <xf numFmtId="49" fontId="12" fillId="2" borderId="10" xfId="0" applyNumberFormat="1" applyFont="1" applyFill="1" applyBorder="1" applyAlignment="1">
      <alignment horizontal="center"/>
    </xf>
    <xf numFmtId="49" fontId="12" fillId="2" borderId="11" xfId="0" applyNumberFormat="1" applyFont="1" applyFill="1" applyBorder="1" applyAlignment="1">
      <alignment horizontal="center"/>
    </xf>
  </cellXfs>
  <cellStyles count="109">
    <cellStyle name="20% - Énfasis1 2" xfId="11" xr:uid="{FCB0B464-9D3C-4E82-A370-39BE48DD77E0}"/>
    <cellStyle name="20% - Énfasis1 3" xfId="67" xr:uid="{BE5AA557-89EC-432B-81A5-0586FA49B368}"/>
    <cellStyle name="20% - Énfasis2 2" xfId="12" xr:uid="{33D245C8-3983-4F19-8721-F98BCFE18523}"/>
    <cellStyle name="20% - Énfasis2 3" xfId="69" xr:uid="{F5AC1844-26DD-4201-B4C8-D14569A9003C}"/>
    <cellStyle name="20% - Énfasis3 2" xfId="13" xr:uid="{1FB8FFFF-860E-4164-A95A-5321EC9FE4FB}"/>
    <cellStyle name="20% - Énfasis3 3" xfId="71" xr:uid="{8881F0CC-CF63-4D46-8380-9AB225684DA5}"/>
    <cellStyle name="20% - Énfasis4 2" xfId="14" xr:uid="{2EEF891A-2837-4A88-BC9E-86F7455236BD}"/>
    <cellStyle name="20% - Énfasis4 3" xfId="73" xr:uid="{CDD48368-A5BB-4B83-BE7B-C5B23C29F32C}"/>
    <cellStyle name="20% - Énfasis5 2" xfId="15" xr:uid="{BDFAE73B-9814-4FF2-9BB6-7FF06721A457}"/>
    <cellStyle name="20% - Énfasis5 3" xfId="75" xr:uid="{CCB8566D-E613-4853-A2B9-F2DDFEBA18F0}"/>
    <cellStyle name="20% - Énfasis6 2" xfId="16" xr:uid="{09E52672-73C3-4A97-A680-6A7DBC85E45A}"/>
    <cellStyle name="20% - Énfasis6 3" xfId="77" xr:uid="{49FD0CBF-A06C-4ED5-8D82-3E8B519CBEA6}"/>
    <cellStyle name="40% - Énfasis1 2" xfId="17" xr:uid="{F2F9643C-DE7D-4EC0-82DA-DBDD906DA828}"/>
    <cellStyle name="40% - Énfasis1 3" xfId="68" xr:uid="{5481D82F-30DB-4F7F-A439-A0F18CB5E87C}"/>
    <cellStyle name="40% - Énfasis2 2" xfId="18" xr:uid="{DE361482-C87A-48F3-8700-C8C9BC3B3D64}"/>
    <cellStyle name="40% - Énfasis2 3" xfId="70" xr:uid="{AA9E417E-7A26-43AE-8FDA-695BB37EB382}"/>
    <cellStyle name="40% - Énfasis3 2" xfId="19" xr:uid="{1DC19AD4-EFAE-4FC6-9F6F-CAA610A2BB4B}"/>
    <cellStyle name="40% - Énfasis3 3" xfId="72" xr:uid="{5F07693F-36C3-4779-BAA1-AA90B6890B82}"/>
    <cellStyle name="40% - Énfasis4 2" xfId="20" xr:uid="{7623447C-02FC-4321-86E3-BD188FFC9546}"/>
    <cellStyle name="40% - Énfasis4 3" xfId="74" xr:uid="{79A4C293-D5A9-465B-876D-C74E93FC8AB2}"/>
    <cellStyle name="40% - Énfasis5 2" xfId="21" xr:uid="{7A10FA48-BA4F-42A6-B202-6B0E4F64A50F}"/>
    <cellStyle name="40% - Énfasis5 3" xfId="76" xr:uid="{A819DE7E-90C2-4208-991B-67C977AC9359}"/>
    <cellStyle name="40% - Énfasis6 2" xfId="22" xr:uid="{D2467598-C938-4602-9389-F9AB7D44832F}"/>
    <cellStyle name="40% - Énfasis6 3" xfId="78" xr:uid="{6D059E36-D8F5-4243-AD8C-16522D88FCD6}"/>
    <cellStyle name="60% - Énfasis1 2" xfId="23" xr:uid="{538E55BC-E2C1-4A4E-8E81-C4E554988502}"/>
    <cellStyle name="60% - Énfasis2 2" xfId="24" xr:uid="{DE55BEC5-20D9-4069-9F6B-FF1466EA05A5}"/>
    <cellStyle name="60% - Énfasis3 2" xfId="25" xr:uid="{43707B36-73A8-4CD1-988A-D27585876F32}"/>
    <cellStyle name="60% - Énfasis4 2" xfId="26" xr:uid="{031D0F03-05B0-4F35-928B-BF422D69092F}"/>
    <cellStyle name="60% - Énfasis5 2" xfId="27" xr:uid="{A95A29C0-8CCD-4F77-9F21-F0341FE37FDC}"/>
    <cellStyle name="60% - Énfasis6 2" xfId="28" xr:uid="{90FF9A66-C8A5-44F7-AEF8-878DF705FA6D}"/>
    <cellStyle name="Bueno 2" xfId="29" xr:uid="{9081BCE6-40BE-4BE2-A2A9-CDD3240ED973}"/>
    <cellStyle name="Cálculo" xfId="6" builtinId="22" customBuiltin="1"/>
    <cellStyle name="Celda de comprobación" xfId="8" builtinId="23" customBuiltin="1"/>
    <cellStyle name="Celda vinculada" xfId="7" builtinId="24" customBuiltin="1"/>
    <cellStyle name="datos principales" xfId="30" xr:uid="{4B3890D5-7161-45FA-9210-F3FF5E3367B3}"/>
    <cellStyle name="datos secundarios" xfId="31" xr:uid="{F4D583F3-7025-4E48-978B-4A34D79CDC49}"/>
    <cellStyle name="Encabezado 1" xfId="62" builtinId="16" customBuiltin="1"/>
    <cellStyle name="Encabezado 4 2" xfId="32" xr:uid="{FB890147-B6BD-42D9-BE5F-08010F6EC867}"/>
    <cellStyle name="Énfasis1 2" xfId="33" xr:uid="{A3882AF6-E93A-4217-80E6-2254C4442695}"/>
    <cellStyle name="Énfasis2 2" xfId="34" xr:uid="{E1CC0DAD-BCCD-4FBB-B845-00EC537B3858}"/>
    <cellStyle name="Énfasis3 2" xfId="35" xr:uid="{B426F20F-A1D6-4A5E-A120-FA4049594AF4}"/>
    <cellStyle name="Énfasis4 2" xfId="36" xr:uid="{6F8D1E92-7F28-4534-9B21-7CD547D8FDE1}"/>
    <cellStyle name="Énfasis5 2" xfId="37" xr:uid="{D642F439-63C9-46C7-8140-EBBEE58B0299}"/>
    <cellStyle name="Énfasis6 2" xfId="38" xr:uid="{956D6295-3A3A-442F-AE5D-731F6C867E22}"/>
    <cellStyle name="Entrada" xfId="4" builtinId="20" customBuiltin="1"/>
    <cellStyle name="Euro" xfId="80" xr:uid="{DDAFED8B-A938-4B3E-B76C-293D4C9FC615}"/>
    <cellStyle name="Euro 2" xfId="92" xr:uid="{33139CAB-4BD0-4871-A647-74FA5B3DCC37}"/>
    <cellStyle name="F2" xfId="81" xr:uid="{8FBCF6A4-3B5B-4800-9D27-2DCAAB13855A}"/>
    <cellStyle name="F3" xfId="82" xr:uid="{609A31E1-4C91-4156-9101-A1C290B483A2}"/>
    <cellStyle name="F4" xfId="83" xr:uid="{D0748834-0116-4D03-ABDC-EC1E89DF75D2}"/>
    <cellStyle name="F5" xfId="84" xr:uid="{72989F2B-87C8-4CFB-98E2-C893E50AEF55}"/>
    <cellStyle name="F6" xfId="85" xr:uid="{2C3B0DE8-BE27-40BA-9CA1-9D2077EB25B5}"/>
    <cellStyle name="F7" xfId="86" xr:uid="{6FEBF6D8-3F08-423A-AB3E-F58653800D2E}"/>
    <cellStyle name="F8" xfId="87" xr:uid="{4F1CF34E-36B0-4785-9F46-A3C8F6465370}"/>
    <cellStyle name="Hipervínculo 2" xfId="39" xr:uid="{B541404A-0632-4BF9-A894-6EB6CF684950}"/>
    <cellStyle name="Incorrecto 2" xfId="40" xr:uid="{F809736B-1BB0-4178-91C7-F5FCC9F51133}"/>
    <cellStyle name="linea de totales" xfId="41" xr:uid="{2C7D4FD1-494E-48D0-8EB9-58B637E8CE78}"/>
    <cellStyle name="Millares 2" xfId="43" xr:uid="{A212E4C0-3074-4069-95BB-AB13BF87BB61}"/>
    <cellStyle name="Millares 2 10" xfId="101" xr:uid="{5F0C582D-A046-4B35-8906-D2D7E35FD0C7}"/>
    <cellStyle name="Millares 2 11" xfId="102" xr:uid="{8BEAE5E4-2047-4E86-B75E-342E3D778995}"/>
    <cellStyle name="Millares 2 12" xfId="103" xr:uid="{088E5762-0534-4F08-8B07-97D17F7206DA}"/>
    <cellStyle name="Millares 2 13" xfId="105" xr:uid="{000B7135-09BA-4D33-95C8-D700FEA096E5}"/>
    <cellStyle name="Millares 2 14" xfId="106" xr:uid="{0530D907-DCB8-4D1C-B32A-D9EB0BB71A67}"/>
    <cellStyle name="Millares 2 15" xfId="107" xr:uid="{6910A4C0-BA6F-4988-BB0F-ED40F397C129}"/>
    <cellStyle name="Millares 2 16" xfId="108" xr:uid="{4C289B6D-BADA-4D33-AA2E-9A61605646FA}"/>
    <cellStyle name="Millares 2 17" xfId="79" xr:uid="{8716F592-AF6E-4E95-AEC1-F65B435AEF64}"/>
    <cellStyle name="Millares 2 2" xfId="91" xr:uid="{CBCD8CFC-2F36-4C18-9637-40ED24AF68C8}"/>
    <cellStyle name="Millares 2 3" xfId="93" xr:uid="{EF437E0D-55DE-4E12-B595-3F247A0CBA8E}"/>
    <cellStyle name="Millares 2 4" xfId="94" xr:uid="{6A0512C9-91F3-42B6-A21F-887240E735E1}"/>
    <cellStyle name="Millares 2 5" xfId="95" xr:uid="{49D13F76-32FA-4964-AC6B-68B01EA6A0DF}"/>
    <cellStyle name="Millares 2 6" xfId="96" xr:uid="{18AEB9AA-2179-40BD-A581-19C11F2C443F}"/>
    <cellStyle name="Millares 2 7" xfId="98" xr:uid="{5CE2425B-754A-4B55-BF6D-C15EEA4DE6DC}"/>
    <cellStyle name="Millares 2 8" xfId="99" xr:uid="{8B68983F-8A09-44C8-A983-CECC36C5FB3A}"/>
    <cellStyle name="Millares 2 9" xfId="100" xr:uid="{AE1CCC9E-6BFC-4DE0-9F59-94ECA7F0CE42}"/>
    <cellStyle name="Millares 3" xfId="42" xr:uid="{C234FB57-7AA7-458B-B04E-92B94134C9F0}"/>
    <cellStyle name="Millares 3 2" xfId="90" xr:uid="{40FC5269-CAEB-4FEB-8713-E5E8E69AB3A2}"/>
    <cellStyle name="Millares 4" xfId="64" xr:uid="{587A4DE2-30F3-4167-8777-5D808B7F6EB5}"/>
    <cellStyle name="Neutral 2" xfId="44" xr:uid="{8B96D84A-9BCE-4A11-8D55-F143D6B1E8A2}"/>
    <cellStyle name="Normal" xfId="0" builtinId="0"/>
    <cellStyle name="Normal 11" xfId="45" xr:uid="{487AB470-19A6-4D20-B097-47B56DDDBE62}"/>
    <cellStyle name="Normal 13" xfId="46" xr:uid="{33A061A9-4027-4ECC-8FF7-405655B776F9}"/>
    <cellStyle name="Normal 14" xfId="47" xr:uid="{9A389838-6683-4F97-A100-0A0600DE8A6D}"/>
    <cellStyle name="Normal 2" xfId="48" xr:uid="{E818DC2C-EE93-40E6-809B-E913D6907D53}"/>
    <cellStyle name="Normal 2 2" xfId="88" xr:uid="{5B1D174F-87CA-496E-9CD4-364319EAB235}"/>
    <cellStyle name="Normal 3" xfId="49" xr:uid="{CC5B07E7-62BE-48AE-82B8-D6343196CF7D}"/>
    <cellStyle name="Normal 4" xfId="50" xr:uid="{C879FD48-EBDD-4B04-9E7B-3F61905FF102}"/>
    <cellStyle name="Normal 5" xfId="10" xr:uid="{BFDD987D-32B7-4566-9921-8032B8ADB20C}"/>
    <cellStyle name="Normal 6" xfId="63" xr:uid="{BB7E1154-4F49-4AC9-93C6-D95624D793E6}"/>
    <cellStyle name="Notas 2" xfId="51" xr:uid="{26319967-3D8C-4E9E-859E-CEEF2C6A36A2}"/>
    <cellStyle name="Notas 3" xfId="66" xr:uid="{B96506B1-8C1D-42EA-B06C-5E40921A7714}"/>
    <cellStyle name="Notas al pie" xfId="52" xr:uid="{489F72AB-4EFA-400A-8D44-304E9D219C97}"/>
    <cellStyle name="Porcentaje" xfId="1" builtinId="5"/>
    <cellStyle name="Porcentaje 2" xfId="53" xr:uid="{D150DC80-8DEC-48C5-B64E-88B4664C769B}"/>
    <cellStyle name="Porcentaje 3" xfId="65" xr:uid="{65F7667E-D892-456F-BA0B-12358F6B0604}"/>
    <cellStyle name="Porcentual 2" xfId="89" xr:uid="{47497BE6-1258-499D-9C11-7E2975A80F65}"/>
    <cellStyle name="Porcentual 3" xfId="54" xr:uid="{7728F4AB-FF99-46F1-9659-4EFB7FCAEBC3}"/>
    <cellStyle name="Salida" xfId="5" builtinId="21" customBuiltin="1"/>
    <cellStyle name="Standard 10" xfId="97" xr:uid="{8329947A-1E63-47FF-A4B0-ED64858F263E}"/>
    <cellStyle name="subtitulos de las filas" xfId="55" xr:uid="{B490BF38-106F-4219-8479-6AF71053632C}"/>
    <cellStyle name="Texto de advertencia 2" xfId="56" xr:uid="{95D7AC1F-F749-4D6F-8133-27E5CDFBA9F9}"/>
    <cellStyle name="Texto explicativo 2" xfId="57" xr:uid="{0DEBA02D-B57C-44EA-9CBE-9747277C30AB}"/>
    <cellStyle name="Título 2" xfId="2" builtinId="17" customBuiltin="1"/>
    <cellStyle name="Título 3" xfId="3" builtinId="18" customBuiltin="1"/>
    <cellStyle name="Título 4" xfId="58" xr:uid="{D5FCE03F-8F93-4233-87F8-79004907A23C}"/>
    <cellStyle name="titulo del informe" xfId="59" xr:uid="{2F2F3F8D-38B7-45DD-A48F-9D4C06EF2669}"/>
    <cellStyle name="titulos de las columnas" xfId="60" xr:uid="{2DB2F740-6C7C-47C0-A4CB-6F91FD5665AB}"/>
    <cellStyle name="titulos de las filas" xfId="61" xr:uid="{86694EA2-A522-4E1A-9FEC-BFFC84A526BC}"/>
    <cellStyle name="Total" xfId="9" builtinId="25" customBuiltin="1"/>
    <cellStyle name="WinCalendar_BlankDates_12" xfId="104" xr:uid="{0EA9D97D-C32E-4C86-AC87-EC29DAFCCC55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>
    <tableStyle name="MySqlDefault" pivot="0" table="0" count="2" xr9:uid="{35DA7294-BBED-443E-9ED8-A058C340327D}">
      <tableStyleElement type="wholeTable" dxfId="1"/>
      <tableStyleElement type="headerRow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99"/>
      <rgbColor rgb="FF0000FF"/>
      <rgbColor rgb="FF27405E"/>
      <rgbColor rgb="FFD8D8D8"/>
      <rgbColor rgb="FFFBD4B4"/>
      <rgbColor rgb="FF17365D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457200</xdr:colOff>
      <xdr:row>0</xdr:row>
      <xdr:rowOff>121920</xdr:rowOff>
    </xdr:from>
    <xdr:to>
      <xdr:col>19</xdr:col>
      <xdr:colOff>469932</xdr:colOff>
      <xdr:row>9</xdr:row>
      <xdr:rowOff>8009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0" y="121920"/>
          <a:ext cx="2199672" cy="153962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639477</xdr:colOff>
      <xdr:row>0</xdr:row>
      <xdr:rowOff>0</xdr:rowOff>
    </xdr:from>
    <xdr:to>
      <xdr:col>9</xdr:col>
      <xdr:colOff>294481</xdr:colOff>
      <xdr:row>7</xdr:row>
      <xdr:rowOff>146159</xdr:rowOff>
    </xdr:to>
    <xdr:pic>
      <xdr:nvPicPr>
        <xdr:cNvPr id="5" name="Imagen" descr="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5577" y="0"/>
          <a:ext cx="2474405" cy="142632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1259048</xdr:colOff>
      <xdr:row>0</xdr:row>
      <xdr:rowOff>23512</xdr:rowOff>
    </xdr:from>
    <xdr:to>
      <xdr:col>6</xdr:col>
      <xdr:colOff>455786</xdr:colOff>
      <xdr:row>3</xdr:row>
      <xdr:rowOff>46499</xdr:rowOff>
    </xdr:to>
    <xdr:pic>
      <xdr:nvPicPr>
        <xdr:cNvPr id="8" name="Imagen" descr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8948" y="23512"/>
          <a:ext cx="2460639" cy="14803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9"/>
  <sheetViews>
    <sheetView showGridLines="0" tabSelected="1" workbookViewId="0">
      <selection activeCell="L7" sqref="L7"/>
    </sheetView>
  </sheetViews>
  <sheetFormatPr baseColWidth="10" defaultColWidth="10.88671875" defaultRowHeight="14.4" customHeight="1"/>
  <cols>
    <col min="1" max="1" width="2.5546875" style="1" customWidth="1"/>
    <col min="2" max="2" width="7.33203125" style="1" customWidth="1"/>
    <col min="3" max="3" width="6.21875" style="1" customWidth="1"/>
    <col min="4" max="4" width="6" style="1" customWidth="1"/>
    <col min="5" max="5" width="7.33203125" style="1" customWidth="1"/>
    <col min="6" max="6" width="5.77734375" style="1" customWidth="1"/>
    <col min="7" max="7" width="6.44140625" style="1" customWidth="1"/>
    <col min="8" max="9" width="7.44140625" style="1" customWidth="1"/>
    <col min="10" max="11" width="6.88671875" style="1" customWidth="1"/>
    <col min="12" max="12" width="6.109375" style="1" customWidth="1"/>
    <col min="13" max="14" width="5.44140625" style="1" bestFit="1" customWidth="1"/>
    <col min="15" max="15" width="7.44140625" style="1" customWidth="1"/>
    <col min="16" max="16" width="6" style="1" customWidth="1"/>
    <col min="17" max="17" width="9.44140625" style="1" customWidth="1"/>
    <col min="18" max="18" width="5.33203125" style="1" customWidth="1"/>
    <col min="19" max="19" width="3.6640625" style="1" customWidth="1"/>
    <col min="20" max="20" width="7" style="1" customWidth="1"/>
    <col min="21" max="22" width="7.88671875" style="1" customWidth="1"/>
    <col min="23" max="23" width="6.44140625" style="1" customWidth="1"/>
    <col min="24" max="24" width="7.88671875" style="1" customWidth="1"/>
    <col min="25" max="26" width="5.44140625" style="1" bestFit="1" customWidth="1"/>
    <col min="27" max="27" width="7.88671875" style="1" customWidth="1"/>
    <col min="28" max="28" width="5.44140625" style="1" bestFit="1" customWidth="1"/>
    <col min="29" max="29" width="6" style="1" customWidth="1"/>
    <col min="30" max="30" width="7.6640625" style="1" customWidth="1"/>
    <col min="31" max="31" width="6.33203125" style="1" customWidth="1"/>
    <col min="32" max="32" width="6.6640625" style="1" customWidth="1"/>
    <col min="33" max="33" width="7" style="1" customWidth="1"/>
    <col min="34" max="34" width="5.88671875" style="1" customWidth="1"/>
    <col min="35" max="35" width="8.109375" style="1" customWidth="1"/>
    <col min="36" max="36" width="7" style="1" customWidth="1"/>
    <col min="37" max="39" width="10.88671875" style="1" customWidth="1"/>
    <col min="40" max="16384" width="10.88671875" style="1"/>
  </cols>
  <sheetData>
    <row r="1" spans="1:37" ht="14.4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5"/>
    </row>
    <row r="2" spans="1:37" ht="14.4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9"/>
    </row>
    <row r="3" spans="1:37" ht="14.4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7"/>
      <c r="V3" s="10" t="s">
        <v>0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9"/>
    </row>
    <row r="4" spans="1:37" ht="14.4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7"/>
      <c r="V4" s="10" t="s">
        <v>1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/>
    </row>
    <row r="5" spans="1:37" ht="14.4" customHeight="1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/>
    </row>
    <row r="6" spans="1:37" ht="14.4" customHeight="1">
      <c r="A6" s="6"/>
      <c r="B6" s="11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7"/>
      <c r="V6" s="12" t="s">
        <v>2</v>
      </c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9"/>
    </row>
    <row r="7" spans="1:37" ht="14.4" customHeight="1">
      <c r="A7" s="6"/>
      <c r="B7" s="1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9"/>
    </row>
    <row r="8" spans="1:37" ht="14.4" customHeight="1">
      <c r="A8" s="6"/>
      <c r="B8" s="11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9"/>
    </row>
    <row r="9" spans="1:37" ht="15" customHeight="1">
      <c r="A9" s="6"/>
      <c r="B9" s="11"/>
      <c r="C9" s="7"/>
      <c r="D9" s="7"/>
      <c r="E9" s="13"/>
      <c r="F9" s="13"/>
      <c r="G9" s="13"/>
      <c r="H9" s="13"/>
      <c r="I9" s="13"/>
      <c r="J9" s="13"/>
      <c r="K9" s="13"/>
      <c r="L9" s="13"/>
      <c r="M9" s="13"/>
      <c r="N9" s="7"/>
      <c r="O9" s="7"/>
      <c r="P9" s="7"/>
      <c r="Q9" s="7"/>
      <c r="R9" s="7"/>
      <c r="S9" s="7"/>
      <c r="T9" s="8"/>
      <c r="U9" s="7"/>
      <c r="V9" s="7"/>
      <c r="W9" s="13"/>
      <c r="X9" s="13"/>
      <c r="Y9" s="13"/>
      <c r="Z9" s="13"/>
      <c r="AA9" s="13"/>
      <c r="AB9" s="13"/>
      <c r="AC9" s="13"/>
      <c r="AD9" s="13"/>
      <c r="AE9" s="13"/>
      <c r="AF9" s="7"/>
      <c r="AG9" s="7"/>
      <c r="AH9" s="7"/>
      <c r="AI9" s="7"/>
      <c r="AJ9" s="7"/>
      <c r="AK9" s="9"/>
    </row>
    <row r="10" spans="1:37" ht="22.5" customHeight="1" thickBot="1">
      <c r="A10" s="6"/>
      <c r="B10" s="14"/>
      <c r="C10" s="15"/>
      <c r="D10" s="16"/>
      <c r="E10" s="361" t="s">
        <v>101</v>
      </c>
      <c r="F10" s="362"/>
      <c r="G10" s="362"/>
      <c r="H10" s="362"/>
      <c r="I10" s="362"/>
      <c r="J10" s="362"/>
      <c r="K10" s="362"/>
      <c r="L10" s="362"/>
      <c r="M10" s="363"/>
      <c r="N10" s="17"/>
      <c r="O10" s="7"/>
      <c r="P10" s="7"/>
      <c r="Q10" s="18"/>
      <c r="R10" s="7"/>
      <c r="S10" s="7"/>
      <c r="T10" s="19"/>
      <c r="U10" s="15"/>
      <c r="V10" s="16"/>
      <c r="W10" s="358" t="s">
        <v>3</v>
      </c>
      <c r="X10" s="359"/>
      <c r="Y10" s="359"/>
      <c r="Z10" s="359"/>
      <c r="AA10" s="359"/>
      <c r="AB10" s="359"/>
      <c r="AC10" s="359"/>
      <c r="AD10" s="359"/>
      <c r="AE10" s="360"/>
      <c r="AF10" s="17"/>
      <c r="AG10" s="7"/>
      <c r="AH10" s="7"/>
      <c r="AI10" s="18"/>
      <c r="AJ10" s="7"/>
      <c r="AK10" s="9"/>
    </row>
    <row r="11" spans="1:37" ht="15" customHeight="1" thickBot="1">
      <c r="A11" s="6"/>
      <c r="B11" s="7"/>
      <c r="C11" s="7"/>
      <c r="D11" s="7"/>
      <c r="E11" s="50"/>
      <c r="F11" s="50"/>
      <c r="G11" s="50"/>
      <c r="H11" s="50"/>
      <c r="I11" s="50"/>
      <c r="J11" s="50"/>
      <c r="K11" s="50"/>
      <c r="L11" s="50"/>
      <c r="M11" s="50"/>
      <c r="N11" s="7"/>
      <c r="O11" s="7"/>
      <c r="P11" s="7"/>
      <c r="Q11" s="7"/>
      <c r="R11" s="7"/>
      <c r="S11" s="7"/>
      <c r="T11" s="21"/>
      <c r="U11" s="13"/>
      <c r="V11" s="13"/>
      <c r="W11" s="20"/>
      <c r="X11" s="20"/>
      <c r="Y11" s="20"/>
      <c r="Z11" s="20"/>
      <c r="AA11" s="20"/>
      <c r="AB11" s="20"/>
      <c r="AC11" s="20"/>
      <c r="AD11" s="20"/>
      <c r="AE11" s="20"/>
      <c r="AF11" s="13"/>
      <c r="AG11" s="13"/>
      <c r="AH11" s="13"/>
      <c r="AI11" s="13"/>
      <c r="AJ11" s="13"/>
      <c r="AK11" s="9"/>
    </row>
    <row r="12" spans="1:37" ht="30" customHeight="1" thickBot="1">
      <c r="A12" s="6"/>
      <c r="B12" s="287" t="s">
        <v>4</v>
      </c>
      <c r="C12" s="288" t="s">
        <v>5</v>
      </c>
      <c r="D12" s="289" t="s">
        <v>6</v>
      </c>
      <c r="E12" s="289" t="s">
        <v>7</v>
      </c>
      <c r="F12" s="289" t="s">
        <v>8</v>
      </c>
      <c r="G12" s="289" t="s">
        <v>9</v>
      </c>
      <c r="H12" s="289" t="s">
        <v>10</v>
      </c>
      <c r="I12" s="289" t="s">
        <v>11</v>
      </c>
      <c r="J12" s="289" t="s">
        <v>12</v>
      </c>
      <c r="K12" s="289" t="s">
        <v>13</v>
      </c>
      <c r="L12" s="289" t="s">
        <v>14</v>
      </c>
      <c r="M12" s="289" t="s">
        <v>15</v>
      </c>
      <c r="N12" s="290" t="s">
        <v>16</v>
      </c>
      <c r="O12" s="298" t="s">
        <v>17</v>
      </c>
      <c r="P12" s="299" t="s">
        <v>18</v>
      </c>
      <c r="Q12" s="288" t="s">
        <v>19</v>
      </c>
      <c r="R12" s="291" t="s">
        <v>18</v>
      </c>
      <c r="S12" s="69"/>
      <c r="T12" s="27" t="s">
        <v>4</v>
      </c>
      <c r="U12" s="23" t="s">
        <v>5</v>
      </c>
      <c r="V12" s="24" t="s">
        <v>6</v>
      </c>
      <c r="W12" s="24" t="s">
        <v>7</v>
      </c>
      <c r="X12" s="24" t="s">
        <v>8</v>
      </c>
      <c r="Y12" s="24" t="s">
        <v>9</v>
      </c>
      <c r="Z12" s="24" t="s">
        <v>10</v>
      </c>
      <c r="AA12" s="24" t="s">
        <v>11</v>
      </c>
      <c r="AB12" s="24" t="s">
        <v>12</v>
      </c>
      <c r="AC12" s="24" t="s">
        <v>13</v>
      </c>
      <c r="AD12" s="24" t="s">
        <v>14</v>
      </c>
      <c r="AE12" s="24" t="s">
        <v>15</v>
      </c>
      <c r="AF12" s="25" t="s">
        <v>16</v>
      </c>
      <c r="AG12" s="23" t="s">
        <v>17</v>
      </c>
      <c r="AH12" s="25" t="s">
        <v>18</v>
      </c>
      <c r="AI12" s="23" t="s">
        <v>19</v>
      </c>
      <c r="AJ12" s="25" t="s">
        <v>18</v>
      </c>
      <c r="AK12" s="28"/>
    </row>
    <row r="13" spans="1:37" ht="14.4" customHeight="1">
      <c r="A13" s="6"/>
      <c r="B13" s="282">
        <v>2002</v>
      </c>
      <c r="C13" s="31">
        <v>1.84021900106215</v>
      </c>
      <c r="D13" s="31">
        <v>1.9389296086783401</v>
      </c>
      <c r="E13" s="31">
        <v>2.0463204879910499</v>
      </c>
      <c r="F13" s="31">
        <v>2.1911293104526601</v>
      </c>
      <c r="G13" s="31">
        <v>2.1898359248155899</v>
      </c>
      <c r="H13" s="31">
        <v>2.19793088410445</v>
      </c>
      <c r="I13" s="31">
        <v>2.2111885110099099</v>
      </c>
      <c r="J13" s="31">
        <v>2.4464783875238298</v>
      </c>
      <c r="K13" s="31">
        <v>2.4145018618058001</v>
      </c>
      <c r="L13" s="31">
        <v>2.77888691080895</v>
      </c>
      <c r="M13" s="31">
        <v>2.5104422311997401</v>
      </c>
      <c r="N13" s="31">
        <v>2.7192080836477999</v>
      </c>
      <c r="O13" s="300">
        <f t="shared" ref="O13:O33" si="0">AVERAGE(C13:N13)</f>
        <v>2.2904226002583559</v>
      </c>
      <c r="P13" s="301"/>
      <c r="Q13" s="297">
        <v>2.2904226002583599</v>
      </c>
      <c r="R13" s="292"/>
      <c r="S13" s="69"/>
      <c r="T13" s="35">
        <v>2002</v>
      </c>
      <c r="U13" s="30">
        <v>1.84021900106215</v>
      </c>
      <c r="V13" s="31">
        <v>1.9389296086783401</v>
      </c>
      <c r="W13" s="31">
        <v>2.0463204879910499</v>
      </c>
      <c r="X13" s="31">
        <v>2.1911293104526601</v>
      </c>
      <c r="Y13" s="31">
        <v>2.1898359248155899</v>
      </c>
      <c r="Z13" s="31">
        <v>2.19793088410445</v>
      </c>
      <c r="AA13" s="31">
        <v>2.2111885110099099</v>
      </c>
      <c r="AB13" s="31">
        <v>2.4464783875238298</v>
      </c>
      <c r="AC13" s="31">
        <v>2.4145018618058001</v>
      </c>
      <c r="AD13" s="31">
        <v>2.77888691080895</v>
      </c>
      <c r="AE13" s="31">
        <v>2.5104422311997401</v>
      </c>
      <c r="AF13" s="32">
        <v>2.7192080836477999</v>
      </c>
      <c r="AG13" s="33">
        <f t="shared" ref="AG13:AG32" si="1">AVERAGE(U13:AF13)</f>
        <v>2.2904226002583559</v>
      </c>
      <c r="AH13" s="34"/>
      <c r="AI13" s="33">
        <v>2.2904226002583599</v>
      </c>
      <c r="AJ13" s="34"/>
      <c r="AK13" s="28"/>
    </row>
    <row r="14" spans="1:37" ht="14.4" customHeight="1">
      <c r="A14" s="6"/>
      <c r="B14" s="283">
        <v>2003</v>
      </c>
      <c r="C14" s="38">
        <v>2.7195373159418899</v>
      </c>
      <c r="D14" s="38">
        <v>2.9293686479745702</v>
      </c>
      <c r="E14" s="38">
        <v>3.4185233892525</v>
      </c>
      <c r="F14" s="38">
        <v>3.4641721620218702</v>
      </c>
      <c r="G14" s="38">
        <v>3.48542496685794</v>
      </c>
      <c r="H14" s="38">
        <v>3.88843552299012</v>
      </c>
      <c r="I14" s="38">
        <v>3.8359177424105901</v>
      </c>
      <c r="J14" s="38">
        <v>3.8289739925928998</v>
      </c>
      <c r="K14" s="38">
        <v>3.8155056871358402</v>
      </c>
      <c r="L14" s="38">
        <v>3.7790245303646102</v>
      </c>
      <c r="M14" s="38">
        <v>3.7461694378702299</v>
      </c>
      <c r="N14" s="38">
        <v>3.7211031377778698</v>
      </c>
      <c r="O14" s="302">
        <f t="shared" si="0"/>
        <v>3.5526797110992443</v>
      </c>
      <c r="P14" s="293">
        <f t="shared" ref="P14:P32" si="2">O14/O13-1</f>
        <v>0.55110227723849214</v>
      </c>
      <c r="Q14" s="109">
        <v>3.5526797110992399</v>
      </c>
      <c r="R14" s="293">
        <f t="shared" ref="R14:R33" si="3">Q14/Q13-1</f>
        <v>0.55110227723848748</v>
      </c>
      <c r="S14" s="69"/>
      <c r="T14" s="42">
        <v>2003</v>
      </c>
      <c r="U14" s="37">
        <v>2.7195373159418899</v>
      </c>
      <c r="V14" s="38">
        <v>2.9293686479745702</v>
      </c>
      <c r="W14" s="38">
        <v>3.4185233892525</v>
      </c>
      <c r="X14" s="38">
        <v>3.4641721620218702</v>
      </c>
      <c r="Y14" s="38">
        <v>3.48542496685794</v>
      </c>
      <c r="Z14" s="38">
        <v>3.88843552299012</v>
      </c>
      <c r="AA14" s="38">
        <v>3.8359177424105901</v>
      </c>
      <c r="AB14" s="38">
        <v>3.8289739925928998</v>
      </c>
      <c r="AC14" s="38">
        <v>3.8155056871358402</v>
      </c>
      <c r="AD14" s="38">
        <v>3.7790245303646102</v>
      </c>
      <c r="AE14" s="38">
        <v>3.7461694378702299</v>
      </c>
      <c r="AF14" s="39">
        <v>3.7211031377778698</v>
      </c>
      <c r="AG14" s="40">
        <f t="shared" si="1"/>
        <v>3.5526797110992443</v>
      </c>
      <c r="AH14" s="41">
        <f t="shared" ref="AH14:AH32" si="4">AG14/AG13-1</f>
        <v>0.55110227723849214</v>
      </c>
      <c r="AI14" s="40">
        <v>3.5526797110992399</v>
      </c>
      <c r="AJ14" s="41">
        <f t="shared" ref="AJ14:AJ32" si="5">AI14/AI13-1</f>
        <v>0.55110227723848748</v>
      </c>
      <c r="AK14" s="28"/>
    </row>
    <row r="15" spans="1:37" ht="14.4" customHeight="1">
      <c r="A15" s="6"/>
      <c r="B15" s="283">
        <v>2004</v>
      </c>
      <c r="C15" s="38">
        <v>3.8102893729845602</v>
      </c>
      <c r="D15" s="38">
        <v>3.8941636765347201</v>
      </c>
      <c r="E15" s="38">
        <v>4.1238232142902396</v>
      </c>
      <c r="F15" s="38">
        <v>4.2020368147104898</v>
      </c>
      <c r="G15" s="38">
        <v>4.3905348575378502</v>
      </c>
      <c r="H15" s="38">
        <v>4.3388704730321201</v>
      </c>
      <c r="I15" s="38">
        <v>4.2909764735201401</v>
      </c>
      <c r="J15" s="38">
        <v>4.2376470479968598</v>
      </c>
      <c r="K15" s="38">
        <v>4.2988071867471902</v>
      </c>
      <c r="L15" s="38">
        <v>4.2660918951216997</v>
      </c>
      <c r="M15" s="38">
        <v>4.1467909047741998</v>
      </c>
      <c r="N15" s="38">
        <v>4.0925046293412297</v>
      </c>
      <c r="O15" s="302">
        <f t="shared" si="0"/>
        <v>4.1743780455492745</v>
      </c>
      <c r="P15" s="293">
        <f t="shared" si="2"/>
        <v>0.17499419734003241</v>
      </c>
      <c r="Q15" s="109">
        <v>4.1743780455492701</v>
      </c>
      <c r="R15" s="293">
        <f t="shared" si="3"/>
        <v>0.17499419734003263</v>
      </c>
      <c r="S15" s="69"/>
      <c r="T15" s="42">
        <v>2004</v>
      </c>
      <c r="U15" s="37">
        <v>3.8102893729845602</v>
      </c>
      <c r="V15" s="38">
        <v>3.8941636765347201</v>
      </c>
      <c r="W15" s="38">
        <v>4.1238232142902396</v>
      </c>
      <c r="X15" s="38">
        <v>4.2020368147104898</v>
      </c>
      <c r="Y15" s="38">
        <v>4.3905348575378502</v>
      </c>
      <c r="Z15" s="38">
        <v>4.3388704730321201</v>
      </c>
      <c r="AA15" s="38">
        <v>4.2909764735201401</v>
      </c>
      <c r="AB15" s="38">
        <v>4.2376470479968598</v>
      </c>
      <c r="AC15" s="38">
        <v>4.2988071867471902</v>
      </c>
      <c r="AD15" s="38">
        <v>4.2660918951216997</v>
      </c>
      <c r="AE15" s="38">
        <v>4.1467909047741998</v>
      </c>
      <c r="AF15" s="39">
        <v>4.0925046293412297</v>
      </c>
      <c r="AG15" s="40">
        <f t="shared" si="1"/>
        <v>4.1743780455492745</v>
      </c>
      <c r="AH15" s="41">
        <f t="shared" si="4"/>
        <v>0.17499419734003241</v>
      </c>
      <c r="AI15" s="40">
        <v>4.1743780455492701</v>
      </c>
      <c r="AJ15" s="41">
        <f t="shared" si="5"/>
        <v>0.17499419734003263</v>
      </c>
      <c r="AK15" s="28"/>
    </row>
    <row r="16" spans="1:37" ht="14.4" customHeight="1">
      <c r="A16" s="6"/>
      <c r="B16" s="283">
        <v>2005</v>
      </c>
      <c r="C16" s="38">
        <v>4.1243005711727303</v>
      </c>
      <c r="D16" s="38">
        <v>4.1450482539267801</v>
      </c>
      <c r="E16" s="38">
        <v>4.2594700202596103</v>
      </c>
      <c r="F16" s="38">
        <v>4.3980265723411396</v>
      </c>
      <c r="G16" s="38">
        <v>4.3483425078779101</v>
      </c>
      <c r="H16" s="38">
        <v>4.3335434253105003</v>
      </c>
      <c r="I16" s="38">
        <v>4.2936383620685499</v>
      </c>
      <c r="J16" s="38">
        <v>4.1173546849829297</v>
      </c>
      <c r="K16" s="38">
        <v>4.2229565526802197</v>
      </c>
      <c r="L16" s="38">
        <v>4.1642437904236802</v>
      </c>
      <c r="M16" s="38">
        <v>4.1663259256106899</v>
      </c>
      <c r="N16" s="38">
        <v>4.1492099278294603</v>
      </c>
      <c r="O16" s="302">
        <f t="shared" si="0"/>
        <v>4.2268717162070173</v>
      </c>
      <c r="P16" s="293">
        <f t="shared" si="2"/>
        <v>1.2575207632119279E-2</v>
      </c>
      <c r="Q16" s="109">
        <v>4.22687171620702</v>
      </c>
      <c r="R16" s="293">
        <f t="shared" si="3"/>
        <v>1.2575207632121055E-2</v>
      </c>
      <c r="S16" s="69"/>
      <c r="T16" s="42">
        <v>2005</v>
      </c>
      <c r="U16" s="37">
        <v>4.1243005711727303</v>
      </c>
      <c r="V16" s="38">
        <v>4.1450482539267801</v>
      </c>
      <c r="W16" s="38">
        <v>4.2594700202596103</v>
      </c>
      <c r="X16" s="38">
        <v>4.3980265723411396</v>
      </c>
      <c r="Y16" s="38">
        <v>4.3483425078779101</v>
      </c>
      <c r="Z16" s="38">
        <v>4.3335434253105003</v>
      </c>
      <c r="AA16" s="38">
        <v>4.2936383620685499</v>
      </c>
      <c r="AB16" s="38">
        <v>4.1173546849829297</v>
      </c>
      <c r="AC16" s="38">
        <v>4.2229565526802197</v>
      </c>
      <c r="AD16" s="38">
        <v>4.1642437904236802</v>
      </c>
      <c r="AE16" s="38">
        <v>4.1663259256106899</v>
      </c>
      <c r="AF16" s="39">
        <v>4.1492099278294603</v>
      </c>
      <c r="AG16" s="40">
        <f t="shared" si="1"/>
        <v>4.2268717162070173</v>
      </c>
      <c r="AH16" s="41">
        <f t="shared" si="4"/>
        <v>1.2575207632119279E-2</v>
      </c>
      <c r="AI16" s="40">
        <v>4.22687171620702</v>
      </c>
      <c r="AJ16" s="41">
        <f t="shared" si="5"/>
        <v>1.2575207632121055E-2</v>
      </c>
      <c r="AK16" s="28"/>
    </row>
    <row r="17" spans="1:37" ht="14.4" customHeight="1">
      <c r="A17" s="6"/>
      <c r="B17" s="283">
        <v>2006</v>
      </c>
      <c r="C17" s="38">
        <v>3.9836137596799399</v>
      </c>
      <c r="D17" s="38">
        <v>4.07545936565006</v>
      </c>
      <c r="E17" s="38">
        <v>4.4180741666050398</v>
      </c>
      <c r="F17" s="38">
        <v>4.4854991202477299</v>
      </c>
      <c r="G17" s="38">
        <v>4.4652875560699403</v>
      </c>
      <c r="H17" s="38">
        <v>4.4212880944671404</v>
      </c>
      <c r="I17" s="38">
        <v>4.3529882668523499</v>
      </c>
      <c r="J17" s="38">
        <v>4.15747128390763</v>
      </c>
      <c r="K17" s="38">
        <v>3.87553338670428</v>
      </c>
      <c r="L17" s="38">
        <v>3.8233563182014301</v>
      </c>
      <c r="M17" s="38">
        <v>3.7759465837253501</v>
      </c>
      <c r="N17" s="38">
        <v>3.7215982735167499</v>
      </c>
      <c r="O17" s="302">
        <f t="shared" si="0"/>
        <v>4.12967634796897</v>
      </c>
      <c r="P17" s="293">
        <f t="shared" si="2"/>
        <v>-2.2994634037596384E-2</v>
      </c>
      <c r="Q17" s="109">
        <v>4.12967634796897</v>
      </c>
      <c r="R17" s="293">
        <f t="shared" si="3"/>
        <v>-2.299463403759705E-2</v>
      </c>
      <c r="S17" s="69"/>
      <c r="T17" s="42">
        <v>2006</v>
      </c>
      <c r="U17" s="37">
        <v>3.9836137596799399</v>
      </c>
      <c r="V17" s="38">
        <v>4.07545936565006</v>
      </c>
      <c r="W17" s="38">
        <v>4.4180741666050398</v>
      </c>
      <c r="X17" s="38">
        <v>4.4854991202477299</v>
      </c>
      <c r="Y17" s="38">
        <v>4.4652875560699403</v>
      </c>
      <c r="Z17" s="38">
        <v>4.4212880944671404</v>
      </c>
      <c r="AA17" s="38">
        <v>4.3529882668523499</v>
      </c>
      <c r="AB17" s="38">
        <v>4.15747128390763</v>
      </c>
      <c r="AC17" s="38">
        <v>3.87553338670428</v>
      </c>
      <c r="AD17" s="38">
        <v>3.8233563182014301</v>
      </c>
      <c r="AE17" s="38">
        <v>3.7759465837253501</v>
      </c>
      <c r="AF17" s="39">
        <v>3.7215982735167499</v>
      </c>
      <c r="AG17" s="40">
        <f t="shared" si="1"/>
        <v>4.12967634796897</v>
      </c>
      <c r="AH17" s="41">
        <f t="shared" si="4"/>
        <v>-2.2994634037596384E-2</v>
      </c>
      <c r="AI17" s="40">
        <v>4.12967634796897</v>
      </c>
      <c r="AJ17" s="41">
        <f t="shared" si="5"/>
        <v>-2.299463403759705E-2</v>
      </c>
      <c r="AK17" s="28"/>
    </row>
    <row r="18" spans="1:37" ht="14.4" customHeight="1">
      <c r="A18" s="6"/>
      <c r="B18" s="283">
        <v>2007</v>
      </c>
      <c r="C18" s="38">
        <v>4.2183971560830802</v>
      </c>
      <c r="D18" s="38">
        <v>4.3301085522307696</v>
      </c>
      <c r="E18" s="38">
        <v>4.9077779215526904</v>
      </c>
      <c r="F18" s="38">
        <v>5.1923896583900904</v>
      </c>
      <c r="G18" s="38">
        <v>5.9008064635337503</v>
      </c>
      <c r="H18" s="38">
        <v>5.8534151237514003</v>
      </c>
      <c r="I18" s="38">
        <v>5.7613737465225503</v>
      </c>
      <c r="J18" s="38">
        <v>6.5213279999999996</v>
      </c>
      <c r="K18" s="38">
        <v>7.2393999999999998</v>
      </c>
      <c r="L18" s="38">
        <v>7.3669159999999998</v>
      </c>
      <c r="M18" s="38">
        <v>7.2737249999999998</v>
      </c>
      <c r="N18" s="38">
        <v>7.5358007999999996</v>
      </c>
      <c r="O18" s="302">
        <f t="shared" si="0"/>
        <v>6.0084532018386945</v>
      </c>
      <c r="P18" s="293">
        <f t="shared" si="2"/>
        <v>0.45494530214062223</v>
      </c>
      <c r="Q18" s="109">
        <v>6.00845320183869</v>
      </c>
      <c r="R18" s="293">
        <f t="shared" si="3"/>
        <v>0.45494530214062112</v>
      </c>
      <c r="S18" s="69"/>
      <c r="T18" s="42">
        <v>2007</v>
      </c>
      <c r="U18" s="37">
        <v>4.2183971560830802</v>
      </c>
      <c r="V18" s="38">
        <v>4.3301085522307696</v>
      </c>
      <c r="W18" s="38">
        <v>4.9077779215526904</v>
      </c>
      <c r="X18" s="38">
        <v>5.1923896583900904</v>
      </c>
      <c r="Y18" s="38">
        <v>5.9008064635337503</v>
      </c>
      <c r="Z18" s="38">
        <v>5.8534151237514003</v>
      </c>
      <c r="AA18" s="38">
        <v>5.7613737465225503</v>
      </c>
      <c r="AB18" s="38">
        <v>6.5213279999999996</v>
      </c>
      <c r="AC18" s="38">
        <v>7.2393999999999998</v>
      </c>
      <c r="AD18" s="38">
        <v>7.3669159999999998</v>
      </c>
      <c r="AE18" s="38">
        <v>7.2737249999999998</v>
      </c>
      <c r="AF18" s="39">
        <v>7.5358007999999996</v>
      </c>
      <c r="AG18" s="40">
        <f t="shared" si="1"/>
        <v>6.0084532018386945</v>
      </c>
      <c r="AH18" s="41">
        <f t="shared" si="4"/>
        <v>0.45494530214062223</v>
      </c>
      <c r="AI18" s="40">
        <v>6.00845320183869</v>
      </c>
      <c r="AJ18" s="41">
        <f t="shared" si="5"/>
        <v>0.45494530214062112</v>
      </c>
      <c r="AK18" s="28"/>
    </row>
    <row r="19" spans="1:37" ht="14.4" customHeight="1">
      <c r="A19" s="6"/>
      <c r="B19" s="283">
        <v>2008</v>
      </c>
      <c r="C19" s="38">
        <v>7.98604</v>
      </c>
      <c r="D19" s="38">
        <v>8.1486803999999999</v>
      </c>
      <c r="E19" s="38">
        <v>8.3087622360826892</v>
      </c>
      <c r="F19" s="38">
        <v>8.5299999999999994</v>
      </c>
      <c r="G19" s="38">
        <v>8.49</v>
      </c>
      <c r="H19" s="38">
        <v>8.5</v>
      </c>
      <c r="I19" s="38">
        <v>8</v>
      </c>
      <c r="J19" s="38">
        <v>7.1725702990707996</v>
      </c>
      <c r="K19" s="38">
        <v>6.28</v>
      </c>
      <c r="L19" s="38">
        <v>5.4144838160314599</v>
      </c>
      <c r="M19" s="38">
        <v>4.93409415673485</v>
      </c>
      <c r="N19" s="38">
        <v>4.76</v>
      </c>
      <c r="O19" s="302">
        <f t="shared" si="0"/>
        <v>7.2103859089933167</v>
      </c>
      <c r="P19" s="293">
        <f t="shared" si="2"/>
        <v>0.20004028770446425</v>
      </c>
      <c r="Q19" s="109">
        <v>7.2103859089933202</v>
      </c>
      <c r="R19" s="293">
        <f t="shared" si="3"/>
        <v>0.2000402877044658</v>
      </c>
      <c r="S19" s="69"/>
      <c r="T19" s="42">
        <v>2008</v>
      </c>
      <c r="U19" s="37">
        <v>7.98604</v>
      </c>
      <c r="V19" s="38">
        <v>8.1486803999999999</v>
      </c>
      <c r="W19" s="38">
        <v>8.3087622360826892</v>
      </c>
      <c r="X19" s="38">
        <v>8.5299999999999994</v>
      </c>
      <c r="Y19" s="38">
        <v>8.49</v>
      </c>
      <c r="Z19" s="38">
        <v>8.5</v>
      </c>
      <c r="AA19" s="38">
        <v>8</v>
      </c>
      <c r="AB19" s="38">
        <v>7.1725702990707996</v>
      </c>
      <c r="AC19" s="38">
        <v>6.28</v>
      </c>
      <c r="AD19" s="38">
        <v>5.4144838160314599</v>
      </c>
      <c r="AE19" s="38">
        <v>4.93409415673485</v>
      </c>
      <c r="AF19" s="39">
        <v>4.76</v>
      </c>
      <c r="AG19" s="40">
        <f t="shared" si="1"/>
        <v>7.2103859089933167</v>
      </c>
      <c r="AH19" s="41">
        <f t="shared" si="4"/>
        <v>0.20004028770446425</v>
      </c>
      <c r="AI19" s="40">
        <v>7.2103859089933202</v>
      </c>
      <c r="AJ19" s="41">
        <f t="shared" si="5"/>
        <v>0.2000402877044658</v>
      </c>
      <c r="AK19" s="28"/>
    </row>
    <row r="20" spans="1:37" ht="14.4" customHeight="1">
      <c r="A20" s="6"/>
      <c r="B20" s="283">
        <v>2009</v>
      </c>
      <c r="C20" s="38">
        <v>4.6100000000000003</v>
      </c>
      <c r="D20" s="38">
        <v>4.75</v>
      </c>
      <c r="E20" s="38">
        <v>4.84</v>
      </c>
      <c r="F20" s="38">
        <v>4.87</v>
      </c>
      <c r="G20" s="38">
        <v>5.1343449269574304</v>
      </c>
      <c r="H20" s="38">
        <v>5.2298207503041496</v>
      </c>
      <c r="I20" s="38">
        <v>5.2021232694498103</v>
      </c>
      <c r="J20" s="38">
        <v>4.95</v>
      </c>
      <c r="K20" s="38">
        <v>5.04</v>
      </c>
      <c r="L20" s="38">
        <v>5.07051505201715</v>
      </c>
      <c r="M20" s="38">
        <v>5.84</v>
      </c>
      <c r="N20" s="38">
        <v>5.52</v>
      </c>
      <c r="O20" s="302">
        <f t="shared" si="0"/>
        <v>5.0880669998940453</v>
      </c>
      <c r="P20" s="293">
        <f t="shared" si="2"/>
        <v>-0.29434193063815917</v>
      </c>
      <c r="Q20" s="109">
        <v>5.08806699989404</v>
      </c>
      <c r="R20" s="293">
        <f t="shared" si="3"/>
        <v>-0.29434193063816028</v>
      </c>
      <c r="S20" s="69"/>
      <c r="T20" s="42">
        <v>2009</v>
      </c>
      <c r="U20" s="37">
        <v>4.6100000000000003</v>
      </c>
      <c r="V20" s="38">
        <v>4.75</v>
      </c>
      <c r="W20" s="38">
        <v>4.84</v>
      </c>
      <c r="X20" s="38">
        <v>4.87</v>
      </c>
      <c r="Y20" s="38">
        <v>5.1343449269574304</v>
      </c>
      <c r="Z20" s="38">
        <v>5.2298207503041496</v>
      </c>
      <c r="AA20" s="38">
        <v>5.2021232694498103</v>
      </c>
      <c r="AB20" s="38">
        <v>4.95</v>
      </c>
      <c r="AC20" s="38">
        <v>5.04</v>
      </c>
      <c r="AD20" s="38">
        <v>5.07051505201715</v>
      </c>
      <c r="AE20" s="38">
        <v>5.84</v>
      </c>
      <c r="AF20" s="39">
        <v>5.52</v>
      </c>
      <c r="AG20" s="40">
        <f t="shared" si="1"/>
        <v>5.0880669998940453</v>
      </c>
      <c r="AH20" s="41">
        <f t="shared" si="4"/>
        <v>-0.29434193063815917</v>
      </c>
      <c r="AI20" s="40">
        <v>5.08806699989404</v>
      </c>
      <c r="AJ20" s="41">
        <f t="shared" si="5"/>
        <v>-0.29434193063816028</v>
      </c>
      <c r="AK20" s="28"/>
    </row>
    <row r="21" spans="1:37" ht="14.4" customHeight="1">
      <c r="A21" s="6"/>
      <c r="B21" s="283">
        <v>2010</v>
      </c>
      <c r="C21" s="38">
        <v>5.5590194184612303</v>
      </c>
      <c r="D21" s="38">
        <v>5.97</v>
      </c>
      <c r="E21" s="38">
        <v>6.31</v>
      </c>
      <c r="F21" s="38">
        <v>6.53</v>
      </c>
      <c r="G21" s="38">
        <v>6.55</v>
      </c>
      <c r="H21" s="38">
        <v>6.51</v>
      </c>
      <c r="I21" s="38">
        <v>6.51</v>
      </c>
      <c r="J21" s="38">
        <v>6.61</v>
      </c>
      <c r="K21" s="38">
        <v>6.51</v>
      </c>
      <c r="L21" s="38">
        <v>6.58</v>
      </c>
      <c r="M21" s="38">
        <v>6.5</v>
      </c>
      <c r="N21" s="38">
        <v>6.82</v>
      </c>
      <c r="O21" s="302">
        <f t="shared" si="0"/>
        <v>6.413251618205102</v>
      </c>
      <c r="P21" s="293">
        <f t="shared" si="2"/>
        <v>0.26044952205595018</v>
      </c>
      <c r="Q21" s="109">
        <v>6.4132516182051003</v>
      </c>
      <c r="R21" s="293">
        <f t="shared" si="3"/>
        <v>0.26044952205595129</v>
      </c>
      <c r="S21" s="69"/>
      <c r="T21" s="42">
        <v>2010</v>
      </c>
      <c r="U21" s="37">
        <v>5.5590194184612303</v>
      </c>
      <c r="V21" s="38">
        <v>5.97</v>
      </c>
      <c r="W21" s="38">
        <v>6.31</v>
      </c>
      <c r="X21" s="38">
        <v>6.53</v>
      </c>
      <c r="Y21" s="38">
        <v>6.55</v>
      </c>
      <c r="Z21" s="38">
        <v>6.51</v>
      </c>
      <c r="AA21" s="38">
        <v>6.51</v>
      </c>
      <c r="AB21" s="38">
        <v>6.61</v>
      </c>
      <c r="AC21" s="38">
        <v>6.51</v>
      </c>
      <c r="AD21" s="38">
        <v>6.58</v>
      </c>
      <c r="AE21" s="38">
        <v>6.5</v>
      </c>
      <c r="AF21" s="39">
        <v>6.82</v>
      </c>
      <c r="AG21" s="40">
        <f t="shared" si="1"/>
        <v>6.413251618205102</v>
      </c>
      <c r="AH21" s="41">
        <f t="shared" si="4"/>
        <v>0.26044952205595018</v>
      </c>
      <c r="AI21" s="40">
        <v>6.4132516182051003</v>
      </c>
      <c r="AJ21" s="41">
        <f t="shared" si="5"/>
        <v>0.26044952205595129</v>
      </c>
      <c r="AK21" s="28"/>
    </row>
    <row r="22" spans="1:37" ht="14.4" customHeight="1">
      <c r="A22" s="6"/>
      <c r="B22" s="283">
        <v>2011</v>
      </c>
      <c r="C22" s="38">
        <v>7.18</v>
      </c>
      <c r="D22" s="38">
        <v>7.66</v>
      </c>
      <c r="E22" s="38">
        <v>8.1999999999999993</v>
      </c>
      <c r="F22" s="38">
        <v>8.31</v>
      </c>
      <c r="G22" s="38">
        <v>8.3800000000000008</v>
      </c>
      <c r="H22" s="38">
        <v>8.34</v>
      </c>
      <c r="I22" s="38">
        <v>8.25</v>
      </c>
      <c r="J22" s="38">
        <v>7.95</v>
      </c>
      <c r="K22" s="38">
        <v>7.81</v>
      </c>
      <c r="L22" s="38">
        <v>7.68</v>
      </c>
      <c r="M22" s="38">
        <v>7.51</v>
      </c>
      <c r="N22" s="38">
        <v>7.54</v>
      </c>
      <c r="O22" s="302">
        <f t="shared" si="0"/>
        <v>7.9008333333333356</v>
      </c>
      <c r="P22" s="293">
        <f t="shared" si="2"/>
        <v>0.23195436631637545</v>
      </c>
      <c r="Q22" s="109">
        <v>7.90083333333334</v>
      </c>
      <c r="R22" s="293">
        <f t="shared" si="3"/>
        <v>0.23195436631637634</v>
      </c>
      <c r="S22" s="69"/>
      <c r="T22" s="42">
        <v>2011</v>
      </c>
      <c r="U22" s="37">
        <v>7.18</v>
      </c>
      <c r="V22" s="38">
        <v>7.66</v>
      </c>
      <c r="W22" s="38">
        <v>8.1999999999999993</v>
      </c>
      <c r="X22" s="38">
        <v>8.31</v>
      </c>
      <c r="Y22" s="38">
        <v>8.3800000000000008</v>
      </c>
      <c r="Z22" s="38">
        <v>8.34</v>
      </c>
      <c r="AA22" s="38">
        <v>8.25</v>
      </c>
      <c r="AB22" s="38">
        <v>7.95</v>
      </c>
      <c r="AC22" s="38">
        <v>7.81</v>
      </c>
      <c r="AD22" s="38">
        <v>7.68</v>
      </c>
      <c r="AE22" s="38">
        <v>7.51</v>
      </c>
      <c r="AF22" s="39">
        <v>7.54</v>
      </c>
      <c r="AG22" s="40">
        <f t="shared" si="1"/>
        <v>7.9008333333333356</v>
      </c>
      <c r="AH22" s="41">
        <f t="shared" si="4"/>
        <v>0.23195436631637545</v>
      </c>
      <c r="AI22" s="40">
        <v>7.90083333333334</v>
      </c>
      <c r="AJ22" s="41">
        <f t="shared" si="5"/>
        <v>0.23195436631637634</v>
      </c>
      <c r="AK22" s="28"/>
    </row>
    <row r="23" spans="1:37" ht="14.4" customHeight="1">
      <c r="A23" s="6"/>
      <c r="B23" s="283">
        <v>2012</v>
      </c>
      <c r="C23" s="38">
        <v>8.14</v>
      </c>
      <c r="D23" s="38">
        <v>7.76</v>
      </c>
      <c r="E23" s="38">
        <v>8.0399999999999991</v>
      </c>
      <c r="F23" s="38">
        <v>8.1300000000000008</v>
      </c>
      <c r="G23" s="38">
        <v>8.0500000000000007</v>
      </c>
      <c r="H23" s="38">
        <v>7.98</v>
      </c>
      <c r="I23" s="38">
        <v>7.83</v>
      </c>
      <c r="J23" s="38">
        <v>7.23</v>
      </c>
      <c r="K23" s="38">
        <v>7.22</v>
      </c>
      <c r="L23" s="38">
        <v>7.16</v>
      </c>
      <c r="M23" s="38">
        <v>7</v>
      </c>
      <c r="N23" s="38">
        <v>6.98</v>
      </c>
      <c r="O23" s="302">
        <f t="shared" si="0"/>
        <v>7.6266666666666678</v>
      </c>
      <c r="P23" s="293">
        <f t="shared" si="2"/>
        <v>-3.470098090918694E-2</v>
      </c>
      <c r="Q23" s="109">
        <v>7.62844568819063</v>
      </c>
      <c r="R23" s="293">
        <f t="shared" si="3"/>
        <v>-3.4475812063205602E-2</v>
      </c>
      <c r="S23" s="69"/>
      <c r="T23" s="42">
        <v>2012</v>
      </c>
      <c r="U23" s="37">
        <v>8.14</v>
      </c>
      <c r="V23" s="38">
        <v>7.76</v>
      </c>
      <c r="W23" s="38">
        <v>8.0399999999999991</v>
      </c>
      <c r="X23" s="38">
        <v>8.1300000000000008</v>
      </c>
      <c r="Y23" s="38">
        <v>8.0500000000000007</v>
      </c>
      <c r="Z23" s="38">
        <v>7.98</v>
      </c>
      <c r="AA23" s="38">
        <v>7.83</v>
      </c>
      <c r="AB23" s="38">
        <v>7.23</v>
      </c>
      <c r="AC23" s="38">
        <v>7.22</v>
      </c>
      <c r="AD23" s="38">
        <v>7.16</v>
      </c>
      <c r="AE23" s="38">
        <v>7</v>
      </c>
      <c r="AF23" s="39">
        <v>6.98</v>
      </c>
      <c r="AG23" s="40">
        <f t="shared" si="1"/>
        <v>7.6266666666666678</v>
      </c>
      <c r="AH23" s="41">
        <f t="shared" si="4"/>
        <v>-3.470098090918694E-2</v>
      </c>
      <c r="AI23" s="40">
        <v>7.62844568819063</v>
      </c>
      <c r="AJ23" s="41">
        <f t="shared" si="5"/>
        <v>-3.4475812063205602E-2</v>
      </c>
      <c r="AK23" s="28"/>
    </row>
    <row r="24" spans="1:37" ht="14.4" customHeight="1">
      <c r="A24" s="6"/>
      <c r="B24" s="283">
        <v>2013</v>
      </c>
      <c r="C24" s="38">
        <v>7.28</v>
      </c>
      <c r="D24" s="38">
        <v>7.61</v>
      </c>
      <c r="E24" s="38">
        <v>8.08</v>
      </c>
      <c r="F24" s="38">
        <v>8.44</v>
      </c>
      <c r="G24" s="38">
        <v>8.56</v>
      </c>
      <c r="H24" s="38">
        <v>8.3800000000000008</v>
      </c>
      <c r="I24" s="38">
        <v>8.33</v>
      </c>
      <c r="J24" s="38">
        <v>8.56</v>
      </c>
      <c r="K24" s="38">
        <v>9.02</v>
      </c>
      <c r="L24" s="38">
        <v>9.43</v>
      </c>
      <c r="M24" s="38">
        <v>9.49</v>
      </c>
      <c r="N24" s="38">
        <v>9.32</v>
      </c>
      <c r="O24" s="302">
        <f t="shared" si="0"/>
        <v>8.5416666666666661</v>
      </c>
      <c r="P24" s="293">
        <f t="shared" si="2"/>
        <v>0.11997377622377603</v>
      </c>
      <c r="Q24" s="109">
        <v>8.6626261273719791</v>
      </c>
      <c r="R24" s="293">
        <f t="shared" si="3"/>
        <v>0.1355689587961979</v>
      </c>
      <c r="S24" s="69"/>
      <c r="T24" s="42">
        <v>2013</v>
      </c>
      <c r="U24" s="37">
        <v>7.28</v>
      </c>
      <c r="V24" s="38">
        <v>7.61</v>
      </c>
      <c r="W24" s="38">
        <v>8.08</v>
      </c>
      <c r="X24" s="38">
        <v>8.44</v>
      </c>
      <c r="Y24" s="38">
        <v>8.56</v>
      </c>
      <c r="Z24" s="38">
        <v>8.3800000000000008</v>
      </c>
      <c r="AA24" s="38">
        <v>8.33</v>
      </c>
      <c r="AB24" s="38">
        <v>8.56</v>
      </c>
      <c r="AC24" s="38">
        <v>9.02</v>
      </c>
      <c r="AD24" s="38">
        <v>9.43</v>
      </c>
      <c r="AE24" s="38">
        <v>9.49</v>
      </c>
      <c r="AF24" s="39">
        <v>9.32</v>
      </c>
      <c r="AG24" s="40">
        <f t="shared" si="1"/>
        <v>8.5416666666666661</v>
      </c>
      <c r="AH24" s="41">
        <f t="shared" si="4"/>
        <v>0.11997377622377603</v>
      </c>
      <c r="AI24" s="40">
        <v>8.6626261273719791</v>
      </c>
      <c r="AJ24" s="41">
        <f t="shared" si="5"/>
        <v>0.1355689587961979</v>
      </c>
      <c r="AK24" s="28"/>
    </row>
    <row r="25" spans="1:37" ht="14.4" customHeight="1">
      <c r="A25" s="6"/>
      <c r="B25" s="283">
        <v>2014</v>
      </c>
      <c r="C25" s="38">
        <v>9.76</v>
      </c>
      <c r="D25" s="38">
        <v>10.08</v>
      </c>
      <c r="E25" s="38">
        <v>10.48</v>
      </c>
      <c r="F25" s="38">
        <v>10.56</v>
      </c>
      <c r="G25" s="38">
        <v>10.55</v>
      </c>
      <c r="H25" s="38">
        <v>10.51</v>
      </c>
      <c r="I25" s="38">
        <v>10.18</v>
      </c>
      <c r="J25" s="38">
        <v>9.74</v>
      </c>
      <c r="K25" s="38">
        <v>9.67</v>
      </c>
      <c r="L25" s="38">
        <v>9.2100000000000009</v>
      </c>
      <c r="M25" s="38">
        <v>9.1</v>
      </c>
      <c r="N25" s="38">
        <v>9.07</v>
      </c>
      <c r="O25" s="302">
        <f t="shared" si="0"/>
        <v>9.9091666666666658</v>
      </c>
      <c r="P25" s="293">
        <f t="shared" si="2"/>
        <v>0.16009756097560968</v>
      </c>
      <c r="Q25" s="109">
        <v>9.8467193524448096</v>
      </c>
      <c r="R25" s="293">
        <f t="shared" si="3"/>
        <v>0.13668986836813346</v>
      </c>
      <c r="S25" s="69"/>
      <c r="T25" s="42">
        <v>2014</v>
      </c>
      <c r="U25" s="37">
        <v>9.76</v>
      </c>
      <c r="V25" s="38">
        <v>10.08</v>
      </c>
      <c r="W25" s="38">
        <v>10.48</v>
      </c>
      <c r="X25" s="38">
        <v>10.56</v>
      </c>
      <c r="Y25" s="38">
        <v>10.55</v>
      </c>
      <c r="Z25" s="38">
        <v>10.51</v>
      </c>
      <c r="AA25" s="38">
        <v>10.18</v>
      </c>
      <c r="AB25" s="38">
        <v>9.74</v>
      </c>
      <c r="AC25" s="38">
        <v>9.67</v>
      </c>
      <c r="AD25" s="38">
        <v>9.2100000000000009</v>
      </c>
      <c r="AE25" s="38">
        <v>9.1</v>
      </c>
      <c r="AF25" s="39">
        <v>9.07</v>
      </c>
      <c r="AG25" s="40">
        <f t="shared" si="1"/>
        <v>9.9091666666666658</v>
      </c>
      <c r="AH25" s="41">
        <f t="shared" si="4"/>
        <v>0.16009756097560968</v>
      </c>
      <c r="AI25" s="40">
        <v>9.8467193524448096</v>
      </c>
      <c r="AJ25" s="41">
        <f t="shared" si="5"/>
        <v>0.13668986836813346</v>
      </c>
      <c r="AK25" s="28"/>
    </row>
    <row r="26" spans="1:37" ht="14.4" customHeight="1">
      <c r="A26" s="6"/>
      <c r="B26" s="283">
        <v>2015</v>
      </c>
      <c r="C26" s="38">
        <v>9.0115521928092992</v>
      </c>
      <c r="D26" s="38">
        <v>9.1436216545399809</v>
      </c>
      <c r="E26" s="38">
        <v>9.1280965493978705</v>
      </c>
      <c r="F26" s="38">
        <v>9.0039205355703693</v>
      </c>
      <c r="G26" s="38">
        <v>8.5713806047891996</v>
      </c>
      <c r="H26" s="38">
        <v>7.9003450600535698</v>
      </c>
      <c r="I26" s="38">
        <v>7.6355363897706701</v>
      </c>
      <c r="J26" s="38">
        <v>7.5358267734018796</v>
      </c>
      <c r="K26" s="38">
        <v>7.5674003294411403</v>
      </c>
      <c r="L26" s="38">
        <v>7.5657138589907396</v>
      </c>
      <c r="M26" s="38">
        <v>7.4798361691682196</v>
      </c>
      <c r="N26" s="38">
        <v>7.4986725603813502</v>
      </c>
      <c r="O26" s="302">
        <f t="shared" si="0"/>
        <v>8.1701585565261912</v>
      </c>
      <c r="P26" s="293">
        <f t="shared" si="2"/>
        <v>-0.17549488959453119</v>
      </c>
      <c r="Q26" s="109">
        <v>8.0352379802798097</v>
      </c>
      <c r="R26" s="293">
        <f t="shared" si="3"/>
        <v>-0.18396801079897063</v>
      </c>
      <c r="S26" s="69"/>
      <c r="T26" s="42">
        <v>2015</v>
      </c>
      <c r="U26" s="37">
        <v>9.0115521928092992</v>
      </c>
      <c r="V26" s="38">
        <v>9.1436216545399809</v>
      </c>
      <c r="W26" s="38">
        <v>9.1280965493978705</v>
      </c>
      <c r="X26" s="38">
        <v>9.0039205355703693</v>
      </c>
      <c r="Y26" s="38">
        <v>8.5713806047891996</v>
      </c>
      <c r="Z26" s="38">
        <v>7.9003450600535698</v>
      </c>
      <c r="AA26" s="38">
        <v>7.6355363897706701</v>
      </c>
      <c r="AB26" s="38">
        <v>7.5358267734018796</v>
      </c>
      <c r="AC26" s="38">
        <v>7.5674003294411403</v>
      </c>
      <c r="AD26" s="38">
        <v>7.5657138589907396</v>
      </c>
      <c r="AE26" s="38">
        <v>7.4798361691682196</v>
      </c>
      <c r="AF26" s="39">
        <v>7.4986725603813502</v>
      </c>
      <c r="AG26" s="40">
        <f t="shared" si="1"/>
        <v>8.1701585565261912</v>
      </c>
      <c r="AH26" s="41">
        <f t="shared" si="4"/>
        <v>-0.17549488959453119</v>
      </c>
      <c r="AI26" s="40">
        <v>8.0352379802798097</v>
      </c>
      <c r="AJ26" s="41">
        <f t="shared" si="5"/>
        <v>-0.18396801079897063</v>
      </c>
      <c r="AK26" s="28"/>
    </row>
    <row r="27" spans="1:37" ht="14.4" customHeight="1">
      <c r="A27" s="6"/>
      <c r="B27" s="283">
        <v>2016</v>
      </c>
      <c r="C27" s="38">
        <v>7.33</v>
      </c>
      <c r="D27" s="38">
        <v>7.49</v>
      </c>
      <c r="E27" s="38">
        <v>7.86</v>
      </c>
      <c r="F27" s="38">
        <v>7.97</v>
      </c>
      <c r="G27" s="43">
        <f>8.06+0.66</f>
        <v>8.7200000000000006</v>
      </c>
      <c r="H27" s="43">
        <f>8.03+0.63</f>
        <v>8.66</v>
      </c>
      <c r="I27" s="43">
        <f>8.06+0.73</f>
        <v>8.7900000000000009</v>
      </c>
      <c r="J27" s="43">
        <f>8.04+0.71</f>
        <v>8.75</v>
      </c>
      <c r="K27" s="38">
        <v>8.75</v>
      </c>
      <c r="L27" s="38">
        <v>8.9</v>
      </c>
      <c r="M27" s="38">
        <v>8.89</v>
      </c>
      <c r="N27" s="38">
        <v>9.0299999999999994</v>
      </c>
      <c r="O27" s="302">
        <f t="shared" si="0"/>
        <v>8.4283333333333328</v>
      </c>
      <c r="P27" s="293">
        <f t="shared" si="2"/>
        <v>3.1599726617412616E-2</v>
      </c>
      <c r="Q27" s="109">
        <v>8.5429366604999597</v>
      </c>
      <c r="R27" s="293">
        <f t="shared" si="3"/>
        <v>6.3184025347619022E-2</v>
      </c>
      <c r="S27" s="69"/>
      <c r="T27" s="42">
        <v>2016</v>
      </c>
      <c r="U27" s="37">
        <v>7.33</v>
      </c>
      <c r="V27" s="38">
        <v>7.49</v>
      </c>
      <c r="W27" s="38">
        <v>7.86</v>
      </c>
      <c r="X27" s="38">
        <v>7.97</v>
      </c>
      <c r="Y27" s="38">
        <v>8.7200000000000006</v>
      </c>
      <c r="Z27" s="38">
        <v>8.66</v>
      </c>
      <c r="AA27" s="38">
        <v>8.7899999999999991</v>
      </c>
      <c r="AB27" s="38">
        <v>8.75</v>
      </c>
      <c r="AC27" s="38">
        <v>8.75</v>
      </c>
      <c r="AD27" s="38">
        <v>8.9</v>
      </c>
      <c r="AE27" s="38">
        <v>8.89</v>
      </c>
      <c r="AF27" s="39">
        <v>9.0299999999999994</v>
      </c>
      <c r="AG27" s="40">
        <f t="shared" si="1"/>
        <v>8.4283333333333328</v>
      </c>
      <c r="AH27" s="41">
        <f t="shared" si="4"/>
        <v>3.1599726617412616E-2</v>
      </c>
      <c r="AI27" s="40">
        <v>8.5429366604999597</v>
      </c>
      <c r="AJ27" s="41">
        <f t="shared" si="5"/>
        <v>6.3184025347619022E-2</v>
      </c>
      <c r="AK27" s="28"/>
    </row>
    <row r="28" spans="1:37" ht="14.4" customHeight="1">
      <c r="A28" s="6"/>
      <c r="B28" s="284">
        <v>2017</v>
      </c>
      <c r="C28" s="38">
        <v>9.0299999999999994</v>
      </c>
      <c r="D28" s="38">
        <v>9.5500000000000007</v>
      </c>
      <c r="E28" s="38">
        <v>9.8699999999999992</v>
      </c>
      <c r="F28" s="38">
        <v>10.07</v>
      </c>
      <c r="G28" s="38">
        <v>10.23</v>
      </c>
      <c r="H28" s="38">
        <v>10.130000000000001</v>
      </c>
      <c r="I28" s="38">
        <v>9.91</v>
      </c>
      <c r="J28" s="43">
        <f>9.83+0.133336352712638</f>
        <v>9.9633363527126377</v>
      </c>
      <c r="K28" s="43">
        <f>9.66+0.133148465216737</f>
        <v>9.7931484652167367</v>
      </c>
      <c r="L28" s="43">
        <f>9.61+0.134885288335166</f>
        <v>9.7448852883351655</v>
      </c>
      <c r="M28" s="43">
        <f>9.54+0.135598476306146</f>
        <v>9.6755984763061456</v>
      </c>
      <c r="N28" s="43">
        <f>9.4+0.134592192182136</f>
        <v>9.5345921921821368</v>
      </c>
      <c r="O28" s="302">
        <f t="shared" si="0"/>
        <v>9.7917967312294021</v>
      </c>
      <c r="P28" s="293">
        <f t="shared" si="2"/>
        <v>0.16177141363212222</v>
      </c>
      <c r="Q28" s="109">
        <v>9.7220277117414398</v>
      </c>
      <c r="R28" s="293">
        <f t="shared" si="3"/>
        <v>0.13801940692048587</v>
      </c>
      <c r="S28" s="69"/>
      <c r="T28" s="200">
        <v>2017</v>
      </c>
      <c r="U28" s="37">
        <v>9.0299999999999994</v>
      </c>
      <c r="V28" s="38">
        <v>9.5500000000000007</v>
      </c>
      <c r="W28" s="38">
        <v>9.8699999999999992</v>
      </c>
      <c r="X28" s="38">
        <v>10.07</v>
      </c>
      <c r="Y28" s="38">
        <v>10.23</v>
      </c>
      <c r="Z28" s="38">
        <v>10.130000000000001</v>
      </c>
      <c r="AA28" s="38">
        <v>9.91</v>
      </c>
      <c r="AB28" s="38">
        <v>9.83</v>
      </c>
      <c r="AC28" s="38">
        <v>9.66</v>
      </c>
      <c r="AD28" s="38">
        <v>9.61</v>
      </c>
      <c r="AE28" s="38">
        <v>9.5399999999999991</v>
      </c>
      <c r="AF28" s="39">
        <v>9.4</v>
      </c>
      <c r="AG28" s="40">
        <f t="shared" si="1"/>
        <v>9.7358333333333338</v>
      </c>
      <c r="AH28" s="41">
        <f t="shared" si="4"/>
        <v>0.15513150088985572</v>
      </c>
      <c r="AI28" s="40">
        <v>9.7220277117414398</v>
      </c>
      <c r="AJ28" s="41">
        <f t="shared" si="5"/>
        <v>0.13801940692048587</v>
      </c>
      <c r="AK28" s="28"/>
    </row>
    <row r="29" spans="1:37" ht="14.4" customHeight="1">
      <c r="A29" s="6"/>
      <c r="B29" s="284">
        <v>2018</v>
      </c>
      <c r="C29" s="43">
        <f>9.46+0.139039950468124</f>
        <v>9.599039950468125</v>
      </c>
      <c r="D29" s="43">
        <f>9.64+0.138930836522464</f>
        <v>9.7789308365224645</v>
      </c>
      <c r="E29" s="43">
        <f>10.1+0.138686623469436</f>
        <v>10.238686623469436</v>
      </c>
      <c r="F29" s="43">
        <f>9.98+0.142025191074559</f>
        <v>10.12202519107456</v>
      </c>
      <c r="G29" s="43">
        <f>10.23+0.142350674408318</f>
        <v>10.372350674408318</v>
      </c>
      <c r="H29" s="43">
        <f>10.34+0.141409870916245</f>
        <v>10.481409870916245</v>
      </c>
      <c r="I29" s="43">
        <f>10.22+0.140291286642325</f>
        <v>10.360291286642326</v>
      </c>
      <c r="J29" s="38">
        <v>9.98</v>
      </c>
      <c r="K29" s="38">
        <v>9.83</v>
      </c>
      <c r="L29" s="38">
        <v>9.75</v>
      </c>
      <c r="M29" s="38">
        <v>9.43</v>
      </c>
      <c r="N29" s="38">
        <v>9.4600000000000009</v>
      </c>
      <c r="O29" s="302">
        <f t="shared" si="0"/>
        <v>9.9502278694584572</v>
      </c>
      <c r="P29" s="293">
        <f t="shared" si="2"/>
        <v>1.6179986429228466E-2</v>
      </c>
      <c r="Q29" s="109">
        <v>9.9339523664547205</v>
      </c>
      <c r="R29" s="293">
        <f t="shared" si="3"/>
        <v>2.1798400600868018E-2</v>
      </c>
      <c r="S29" s="69"/>
      <c r="T29" s="200">
        <v>2018</v>
      </c>
      <c r="U29" s="37">
        <v>9.4600000000000009</v>
      </c>
      <c r="V29" s="38">
        <v>9.64</v>
      </c>
      <c r="W29" s="38">
        <v>10.1</v>
      </c>
      <c r="X29" s="38">
        <v>9.98</v>
      </c>
      <c r="Y29" s="38">
        <v>10.23</v>
      </c>
      <c r="Z29" s="38">
        <v>10.34</v>
      </c>
      <c r="AA29" s="38">
        <v>10.220000000000001</v>
      </c>
      <c r="AB29" s="38">
        <v>9.98</v>
      </c>
      <c r="AC29" s="38">
        <v>9.83</v>
      </c>
      <c r="AD29" s="38">
        <v>9.75</v>
      </c>
      <c r="AE29" s="38">
        <v>9.43</v>
      </c>
      <c r="AF29" s="39">
        <v>9.4600000000000009</v>
      </c>
      <c r="AG29" s="40">
        <f t="shared" si="1"/>
        <v>9.8683333333333341</v>
      </c>
      <c r="AH29" s="41">
        <f t="shared" si="4"/>
        <v>1.360951810322697E-2</v>
      </c>
      <c r="AI29" s="40">
        <v>9.8598349747285194</v>
      </c>
      <c r="AJ29" s="41">
        <f t="shared" si="5"/>
        <v>1.4174744926991778E-2</v>
      </c>
      <c r="AK29" s="28"/>
    </row>
    <row r="30" spans="1:37" ht="14.4" customHeight="1">
      <c r="A30" s="6"/>
      <c r="B30" s="284">
        <v>2019</v>
      </c>
      <c r="C30" s="38">
        <v>9.43</v>
      </c>
      <c r="D30" s="43">
        <f>9.59+0.08</f>
        <v>9.67</v>
      </c>
      <c r="E30" s="43">
        <f>10+0.1</f>
        <v>10.1</v>
      </c>
      <c r="F30" s="43">
        <f>10.41+0.12</f>
        <v>10.53</v>
      </c>
      <c r="G30" s="43">
        <f>10.51+0.11</f>
        <v>10.62</v>
      </c>
      <c r="H30" s="43">
        <f>10.79+0.11</f>
        <v>10.899999999999999</v>
      </c>
      <c r="I30" s="43">
        <f>10.68+0.09</f>
        <v>10.77</v>
      </c>
      <c r="J30" s="43">
        <f>10.94+0.126</f>
        <v>11.065999999999999</v>
      </c>
      <c r="K30" s="43">
        <f>11.1+0.128</f>
        <v>11.228</v>
      </c>
      <c r="L30" s="43">
        <f>11.21+0.13</f>
        <v>11.340000000000002</v>
      </c>
      <c r="M30" s="43">
        <f>11.14+0.131</f>
        <v>11.271000000000001</v>
      </c>
      <c r="N30" s="43">
        <f>11.28+0.291+0.131</f>
        <v>11.702</v>
      </c>
      <c r="O30" s="302">
        <f t="shared" si="0"/>
        <v>10.718916666666667</v>
      </c>
      <c r="P30" s="293">
        <f t="shared" si="2"/>
        <v>7.7253386283508974E-2</v>
      </c>
      <c r="Q30" s="109">
        <v>10.7996763898577</v>
      </c>
      <c r="R30" s="293">
        <f t="shared" si="3"/>
        <v>8.7147994218935709E-2</v>
      </c>
      <c r="S30" s="69"/>
      <c r="T30" s="200">
        <v>2019</v>
      </c>
      <c r="U30" s="37">
        <v>9.43</v>
      </c>
      <c r="V30" s="38">
        <v>9.59</v>
      </c>
      <c r="W30" s="38">
        <v>10</v>
      </c>
      <c r="X30" s="38">
        <v>10.41</v>
      </c>
      <c r="Y30" s="38">
        <v>10.51</v>
      </c>
      <c r="Z30" s="38">
        <v>10.79</v>
      </c>
      <c r="AA30" s="38">
        <v>10.68</v>
      </c>
      <c r="AB30" s="38">
        <v>10.94</v>
      </c>
      <c r="AC30" s="38">
        <v>11.1</v>
      </c>
      <c r="AD30" s="38">
        <v>11.21</v>
      </c>
      <c r="AE30" s="38">
        <v>11.14</v>
      </c>
      <c r="AF30" s="39">
        <v>11.28</v>
      </c>
      <c r="AG30" s="40">
        <f t="shared" si="1"/>
        <v>10.59</v>
      </c>
      <c r="AH30" s="41">
        <f t="shared" si="4"/>
        <v>7.3129538929234794E-2</v>
      </c>
      <c r="AI30" s="40">
        <v>10.6680113082251</v>
      </c>
      <c r="AJ30" s="41">
        <f t="shared" si="5"/>
        <v>8.1966517245775083E-2</v>
      </c>
      <c r="AK30" s="28"/>
    </row>
    <row r="31" spans="1:37" ht="14.4" customHeight="1">
      <c r="A31" s="6"/>
      <c r="B31" s="284">
        <v>2020</v>
      </c>
      <c r="C31" s="43">
        <v>12.052</v>
      </c>
      <c r="D31" s="43">
        <v>12.327</v>
      </c>
      <c r="E31" s="43">
        <v>12.226000000000001</v>
      </c>
      <c r="F31" s="43">
        <v>12.436999999999999</v>
      </c>
      <c r="G31" s="43">
        <v>12.648999999999999</v>
      </c>
      <c r="H31" s="38">
        <v>12.28</v>
      </c>
      <c r="I31" s="38">
        <v>12.32</v>
      </c>
      <c r="J31" s="43">
        <v>12.3828176256694</v>
      </c>
      <c r="K31" s="43">
        <v>12.872700531644201</v>
      </c>
      <c r="L31" s="43">
        <v>12.853559696823799</v>
      </c>
      <c r="M31" s="43">
        <v>12.9140825524485</v>
      </c>
      <c r="N31" s="43">
        <v>13.023386609161699</v>
      </c>
      <c r="O31" s="302">
        <f t="shared" si="0"/>
        <v>12.528128917978966</v>
      </c>
      <c r="P31" s="293">
        <f t="shared" si="2"/>
        <v>0.16878685669219995</v>
      </c>
      <c r="Q31" s="109">
        <v>12.560924151964199</v>
      </c>
      <c r="R31" s="293">
        <f t="shared" si="3"/>
        <v>0.16308338310586246</v>
      </c>
      <c r="S31" s="69"/>
      <c r="T31" s="200">
        <v>2020</v>
      </c>
      <c r="U31" s="37">
        <v>11.64</v>
      </c>
      <c r="V31" s="38">
        <v>11.92</v>
      </c>
      <c r="W31" s="38">
        <v>12.1</v>
      </c>
      <c r="X31" s="38">
        <v>12.31</v>
      </c>
      <c r="Y31" s="38">
        <v>12.52</v>
      </c>
      <c r="Z31" s="38">
        <v>12.28</v>
      </c>
      <c r="AA31" s="38">
        <v>12.32</v>
      </c>
      <c r="AB31" s="38">
        <v>12.18</v>
      </c>
      <c r="AC31" s="38">
        <v>12.67</v>
      </c>
      <c r="AD31" s="38">
        <v>12.65</v>
      </c>
      <c r="AE31" s="38">
        <v>12.71</v>
      </c>
      <c r="AF31" s="39">
        <v>12.82</v>
      </c>
      <c r="AG31" s="40">
        <f t="shared" si="1"/>
        <v>12.343333333333334</v>
      </c>
      <c r="AH31" s="41">
        <f t="shared" si="4"/>
        <v>0.16556499842618821</v>
      </c>
      <c r="AI31" s="40">
        <v>12.379108707413399</v>
      </c>
      <c r="AJ31" s="41">
        <f t="shared" si="5"/>
        <v>0.16039516173638035</v>
      </c>
      <c r="AK31" s="28"/>
    </row>
    <row r="32" spans="1:37" ht="14.4" customHeight="1">
      <c r="A32" s="6"/>
      <c r="B32" s="284">
        <v>2021</v>
      </c>
      <c r="C32" s="43">
        <v>13.532956925048801</v>
      </c>
      <c r="D32" s="43">
        <v>13.953121174889301</v>
      </c>
      <c r="E32" s="43">
        <v>14.1637587447144</v>
      </c>
      <c r="F32" s="43">
        <v>15.079548290623601</v>
      </c>
      <c r="G32" s="43">
        <v>15.5715974457143</v>
      </c>
      <c r="H32" s="43">
        <v>15.4861034352991</v>
      </c>
      <c r="I32" s="43">
        <v>15.813504263244001</v>
      </c>
      <c r="J32" s="43">
        <v>15.8364019311202</v>
      </c>
      <c r="K32" s="43">
        <v>15.6560624807876</v>
      </c>
      <c r="L32" s="43">
        <v>15.192514188333</v>
      </c>
      <c r="M32" s="43">
        <v>15.614924580247999</v>
      </c>
      <c r="N32" s="43">
        <v>15.7636654990532</v>
      </c>
      <c r="O32" s="302">
        <f t="shared" si="0"/>
        <v>15.13867991325629</v>
      </c>
      <c r="P32" s="293">
        <f t="shared" si="2"/>
        <v>0.20837517017652596</v>
      </c>
      <c r="Q32" s="109">
        <v>15.214640022568499</v>
      </c>
      <c r="R32" s="293">
        <f t="shared" si="3"/>
        <v>0.21126756586531314</v>
      </c>
      <c r="S32" s="69"/>
      <c r="T32" s="200">
        <v>2021</v>
      </c>
      <c r="U32" s="37">
        <v>13.33</v>
      </c>
      <c r="V32" s="38">
        <v>13.75</v>
      </c>
      <c r="W32" s="38">
        <v>14</v>
      </c>
      <c r="X32" s="38">
        <v>14.91</v>
      </c>
      <c r="Y32" s="38">
        <v>15.36</v>
      </c>
      <c r="Z32" s="38">
        <v>15.31</v>
      </c>
      <c r="AA32" s="38">
        <v>15.34</v>
      </c>
      <c r="AB32" s="38">
        <v>15.36</v>
      </c>
      <c r="AC32" s="38">
        <v>15.18</v>
      </c>
      <c r="AD32" s="38">
        <v>14.94</v>
      </c>
      <c r="AE32" s="38">
        <v>15.39</v>
      </c>
      <c r="AF32" s="39">
        <v>15.540410827174499</v>
      </c>
      <c r="AG32" s="40">
        <f t="shared" si="1"/>
        <v>14.867534235597875</v>
      </c>
      <c r="AH32" s="41">
        <f t="shared" si="4"/>
        <v>0.20449912791773217</v>
      </c>
      <c r="AI32" s="40">
        <v>14.9326684002998</v>
      </c>
      <c r="AJ32" s="41">
        <f t="shared" si="5"/>
        <v>0.20627976967010286</v>
      </c>
      <c r="AK32" s="28"/>
    </row>
    <row r="33" spans="1:37" ht="15" customHeight="1">
      <c r="A33" s="6"/>
      <c r="B33" s="284">
        <v>2022</v>
      </c>
      <c r="C33" s="216">
        <v>15.91</v>
      </c>
      <c r="D33" s="216">
        <v>17.211752500934708</v>
      </c>
      <c r="E33" s="216">
        <v>17.776360207407869</v>
      </c>
      <c r="F33" s="216">
        <v>17.920605837801471</v>
      </c>
      <c r="G33" s="216">
        <v>17.810328417923383</v>
      </c>
      <c r="H33" s="216">
        <v>17.760328417923386</v>
      </c>
      <c r="I33" s="216">
        <v>17.48</v>
      </c>
      <c r="J33" s="216">
        <v>17.25</v>
      </c>
      <c r="K33" s="216">
        <v>17.099980940889377</v>
      </c>
      <c r="L33" s="216">
        <v>16.809999999999999</v>
      </c>
      <c r="M33" s="216">
        <v>16.53</v>
      </c>
      <c r="N33" s="216">
        <v>16.37</v>
      </c>
      <c r="O33" s="302">
        <f t="shared" si="0"/>
        <v>17.16077969357335</v>
      </c>
      <c r="P33" s="293">
        <f t="shared" ref="P33" si="6">O33/O32-1</f>
        <v>0.13357173755595397</v>
      </c>
      <c r="Q33" s="109">
        <v>17.128810924700328</v>
      </c>
      <c r="R33" s="293">
        <f t="shared" si="3"/>
        <v>0.12581112003257799</v>
      </c>
      <c r="S33" s="69"/>
      <c r="T33" s="200">
        <v>2022</v>
      </c>
      <c r="U33" s="217">
        <v>15.91</v>
      </c>
      <c r="V33" s="216">
        <v>17.21</v>
      </c>
      <c r="W33" s="216">
        <v>17.77</v>
      </c>
      <c r="X33" s="216">
        <v>17.920000000000002</v>
      </c>
      <c r="Y33" s="216">
        <v>17.809999999999999</v>
      </c>
      <c r="Z33" s="216">
        <v>17.760000000000002</v>
      </c>
      <c r="AA33" s="216">
        <v>17.48</v>
      </c>
      <c r="AB33" s="216">
        <v>17.25</v>
      </c>
      <c r="AC33" s="216">
        <v>17.100000000000001</v>
      </c>
      <c r="AD33" s="216">
        <v>16.809999999999999</v>
      </c>
      <c r="AE33" s="216">
        <v>16.53</v>
      </c>
      <c r="AF33" s="39">
        <v>16.37</v>
      </c>
      <c r="AG33" s="40">
        <f t="shared" ref="AG33:AG34" si="7">AVERAGE(U33:AF33)</f>
        <v>17.16</v>
      </c>
      <c r="AH33" s="41">
        <f t="shared" ref="AH33:AJ35" si="8">AG33/AG32-1</f>
        <v>0.15419273485936835</v>
      </c>
      <c r="AI33" s="40">
        <v>17.128178136791284</v>
      </c>
      <c r="AJ33" s="41">
        <f t="shared" si="8"/>
        <v>0.14702728793250408</v>
      </c>
      <c r="AK33" s="28"/>
    </row>
    <row r="34" spans="1:37" ht="15" customHeight="1">
      <c r="A34" s="6"/>
      <c r="B34" s="284">
        <v>2023</v>
      </c>
      <c r="C34" s="216">
        <v>16.57</v>
      </c>
      <c r="D34" s="216">
        <v>16.95</v>
      </c>
      <c r="E34" s="216">
        <v>17.200016658349792</v>
      </c>
      <c r="F34" s="216">
        <v>17.630013599253441</v>
      </c>
      <c r="G34" s="216">
        <v>17.61</v>
      </c>
      <c r="H34" s="216">
        <v>17.38</v>
      </c>
      <c r="I34" s="216">
        <v>17.399999999999999</v>
      </c>
      <c r="J34" s="43">
        <v>14.422481272119411</v>
      </c>
      <c r="K34" s="43">
        <v>14.304367760737883</v>
      </c>
      <c r="L34" s="43">
        <v>14.58323079133924</v>
      </c>
      <c r="M34" s="43">
        <v>14.402061302575852</v>
      </c>
      <c r="N34" s="216">
        <v>14.07</v>
      </c>
      <c r="O34" s="302">
        <f t="shared" ref="O34:O35" si="9">AVERAGE(C34:N34)</f>
        <v>16.0435142820313</v>
      </c>
      <c r="P34" s="293">
        <f t="shared" ref="P34:P35" si="10">O34/O33-1</f>
        <v>-6.5105748776698169E-2</v>
      </c>
      <c r="Q34" s="109">
        <v>15.874417176752235</v>
      </c>
      <c r="R34" s="293">
        <f t="shared" ref="R34:R35" si="11">Q34/Q33-1</f>
        <v>-7.3232972998681145E-2</v>
      </c>
      <c r="S34" s="69"/>
      <c r="T34" s="200">
        <v>2023</v>
      </c>
      <c r="U34" s="217">
        <v>16.57</v>
      </c>
      <c r="V34" s="216">
        <v>16.95</v>
      </c>
      <c r="W34" s="216">
        <v>17.2</v>
      </c>
      <c r="X34" s="216">
        <v>17.63</v>
      </c>
      <c r="Y34" s="216">
        <v>17.61</v>
      </c>
      <c r="Z34" s="216">
        <v>17.38</v>
      </c>
      <c r="AA34" s="216">
        <v>17.399999999999999</v>
      </c>
      <c r="AB34" s="216">
        <v>14.28</v>
      </c>
      <c r="AC34" s="216">
        <v>14.16</v>
      </c>
      <c r="AD34" s="216">
        <v>14.44</v>
      </c>
      <c r="AE34" s="216">
        <v>14.26</v>
      </c>
      <c r="AF34" s="216">
        <v>14.07</v>
      </c>
      <c r="AG34" s="40">
        <f t="shared" si="7"/>
        <v>15.99583333333333</v>
      </c>
      <c r="AH34" s="41">
        <f t="shared" si="8"/>
        <v>-6.7841880341880545E-2</v>
      </c>
      <c r="AI34" s="40">
        <v>15.818237090864356</v>
      </c>
      <c r="AJ34" s="41">
        <f t="shared" si="8"/>
        <v>-7.6478714517405622E-2</v>
      </c>
      <c r="AK34" s="28"/>
    </row>
    <row r="35" spans="1:37" s="267" customFormat="1" ht="15" customHeight="1">
      <c r="A35" s="6"/>
      <c r="B35" s="284">
        <v>2024</v>
      </c>
      <c r="C35" s="216">
        <v>14.202466787634474</v>
      </c>
      <c r="D35" s="270">
        <v>15.434719101666696</v>
      </c>
      <c r="E35" s="270">
        <v>16.136467771275814</v>
      </c>
      <c r="F35" s="270">
        <v>16.291173494065244</v>
      </c>
      <c r="G35" s="270">
        <v>16.307808885434902</v>
      </c>
      <c r="H35" s="216">
        <v>15.35</v>
      </c>
      <c r="I35" s="270">
        <v>16.048750103626539</v>
      </c>
      <c r="J35" s="270">
        <v>16.257094942730532</v>
      </c>
      <c r="K35" s="270">
        <v>16.555598977904481</v>
      </c>
      <c r="L35" s="270">
        <v>16.268556828232569</v>
      </c>
      <c r="M35" s="273">
        <v>16.591860867115837</v>
      </c>
      <c r="N35" s="273">
        <v>17.254154066110118</v>
      </c>
      <c r="O35" s="302">
        <f t="shared" si="9"/>
        <v>16.0582209854831</v>
      </c>
      <c r="P35" s="293">
        <f t="shared" si="10"/>
        <v>9.166759347900566E-4</v>
      </c>
      <c r="Q35" s="109">
        <v>16.016693895868457</v>
      </c>
      <c r="R35" s="293">
        <f t="shared" si="11"/>
        <v>8.9626420631419013E-3</v>
      </c>
      <c r="S35" s="69"/>
      <c r="T35" s="200">
        <v>2024</v>
      </c>
      <c r="U35" s="217">
        <v>14.2</v>
      </c>
      <c r="V35" s="216">
        <v>14.99</v>
      </c>
      <c r="W35" s="216">
        <v>15.69</v>
      </c>
      <c r="X35" s="216">
        <v>15.84</v>
      </c>
      <c r="Y35" s="216">
        <v>15.85</v>
      </c>
      <c r="Z35" s="216">
        <v>15.35</v>
      </c>
      <c r="AA35" s="216">
        <v>15.35</v>
      </c>
      <c r="AB35" s="216">
        <v>15.23</v>
      </c>
      <c r="AC35" s="216">
        <v>15.53</v>
      </c>
      <c r="AD35" s="216">
        <v>15.24</v>
      </c>
      <c r="AE35" s="216">
        <v>16.02</v>
      </c>
      <c r="AF35" s="216">
        <v>16.5</v>
      </c>
      <c r="AG35" s="40">
        <f t="shared" ref="AG35" si="12">AVERAGE(U35:AF35)</f>
        <v>15.4825</v>
      </c>
      <c r="AH35" s="41">
        <f t="shared" ref="AH35" si="13">AG35/AG34-1</f>
        <v>-3.209169054441241E-2</v>
      </c>
      <c r="AI35" s="40">
        <v>15.493561842734602</v>
      </c>
      <c r="AJ35" s="41">
        <f t="shared" si="8"/>
        <v>-2.0525375000054025E-2</v>
      </c>
      <c r="AK35" s="28"/>
    </row>
    <row r="36" spans="1:37" s="269" customFormat="1" ht="15" customHeight="1">
      <c r="A36" s="195"/>
      <c r="B36" s="285">
        <v>2025</v>
      </c>
      <c r="C36" s="273">
        <v>18.134875224364666</v>
      </c>
      <c r="D36" s="273">
        <v>18.055108499168696</v>
      </c>
      <c r="E36" s="273">
        <v>18.381820583265164</v>
      </c>
      <c r="F36" s="273">
        <v>18.21962865654822</v>
      </c>
      <c r="G36" s="273">
        <v>17.910545122656139</v>
      </c>
      <c r="H36" s="216">
        <v>17.823437113366513</v>
      </c>
      <c r="I36" s="216">
        <v>17.57</v>
      </c>
      <c r="J36" s="216">
        <v>17.34</v>
      </c>
      <c r="K36" s="216">
        <v>17.36</v>
      </c>
      <c r="L36" s="216">
        <v>17.010000000000002</v>
      </c>
      <c r="M36" s="216">
        <v>16.809999999999999</v>
      </c>
      <c r="N36" s="216">
        <v>16.66</v>
      </c>
      <c r="O36" s="303">
        <v>17.531654337842706</v>
      </c>
      <c r="P36" s="294">
        <f t="shared" ref="P36" si="14">O36/O35-1</f>
        <v>9.1755702807404083E-2</v>
      </c>
      <c r="Q36" s="280">
        <v>17.54025600489415</v>
      </c>
      <c r="R36" s="294">
        <f>Q36/Q35-1</f>
        <v>9.5123383073375756E-2</v>
      </c>
      <c r="S36" s="281"/>
      <c r="T36" s="285">
        <v>2025</v>
      </c>
      <c r="U36" s="217">
        <v>16.87</v>
      </c>
      <c r="V36" s="216">
        <v>17.239999999999998</v>
      </c>
      <c r="W36" s="216">
        <v>17.61</v>
      </c>
      <c r="X36" s="216">
        <v>18.010000000000002</v>
      </c>
      <c r="Y36" s="216">
        <v>17.7</v>
      </c>
      <c r="Z36" s="216">
        <v>17.82</v>
      </c>
      <c r="AA36" s="216">
        <v>17.57</v>
      </c>
      <c r="AB36" s="216">
        <v>17.34</v>
      </c>
      <c r="AC36" s="216">
        <v>17.36</v>
      </c>
      <c r="AD36" s="216">
        <v>17.010000000000002</v>
      </c>
      <c r="AE36" s="216">
        <v>16.809999999999999</v>
      </c>
      <c r="AF36" s="216">
        <v>16.66</v>
      </c>
      <c r="AG36" s="303">
        <v>17.300494927115889</v>
      </c>
      <c r="AH36" s="294">
        <f t="shared" ref="AH36:AJ36" si="15">AG36/AG35-1</f>
        <v>0.11742256916621274</v>
      </c>
      <c r="AI36" s="280">
        <v>17.315775047264474</v>
      </c>
      <c r="AJ36" s="294">
        <f t="shared" si="15"/>
        <v>0.11761099371635853</v>
      </c>
      <c r="AK36" s="268"/>
    </row>
    <row r="37" spans="1:37" s="269" customFormat="1" ht="15" customHeight="1" thickBot="1">
      <c r="A37" s="196"/>
      <c r="B37" s="286">
        <v>2026</v>
      </c>
      <c r="C37" s="345">
        <v>16.03</v>
      </c>
      <c r="D37" s="346">
        <v>16.38</v>
      </c>
      <c r="E37" s="346">
        <v>16.79</v>
      </c>
      <c r="F37" s="344">
        <v>16.64</v>
      </c>
      <c r="G37" s="344">
        <v>17.059999999999999</v>
      </c>
      <c r="H37" s="344">
        <v>16.86</v>
      </c>
      <c r="I37" s="331">
        <v>16.66087764035127</v>
      </c>
      <c r="J37" s="331">
        <v>16.456067759585004</v>
      </c>
      <c r="K37" s="331">
        <v>16.47896718396818</v>
      </c>
      <c r="L37" s="295"/>
      <c r="M37" s="295"/>
      <c r="N37" s="295"/>
      <c r="O37" s="304"/>
      <c r="P37" s="296"/>
      <c r="Q37" s="295"/>
      <c r="R37" s="296"/>
      <c r="S37" s="281"/>
      <c r="T37" s="286">
        <v>2026</v>
      </c>
      <c r="U37" s="345">
        <v>16.03</v>
      </c>
      <c r="V37" s="344">
        <v>16.38</v>
      </c>
      <c r="W37" s="344">
        <v>16.79</v>
      </c>
      <c r="X37" s="344">
        <v>16.64</v>
      </c>
      <c r="Y37" s="344">
        <v>17.059999999999999</v>
      </c>
      <c r="Z37" s="344">
        <v>16.86</v>
      </c>
      <c r="AA37" s="331">
        <v>16.66087764035127</v>
      </c>
      <c r="AB37" s="331">
        <v>16.456067759585004</v>
      </c>
      <c r="AC37" s="331">
        <v>16.47896718396818</v>
      </c>
      <c r="AD37" s="295"/>
      <c r="AE37" s="295"/>
      <c r="AF37" s="295"/>
      <c r="AG37" s="304"/>
      <c r="AH37" s="296"/>
      <c r="AI37" s="295"/>
      <c r="AJ37" s="296"/>
      <c r="AK37" s="198"/>
    </row>
    <row r="38" spans="1:37" ht="14.4" customHeight="1">
      <c r="A38" s="56"/>
      <c r="B38" s="56" t="s">
        <v>20</v>
      </c>
      <c r="D38" s="56"/>
      <c r="E38" s="56"/>
      <c r="F38" s="56"/>
      <c r="G38" s="56"/>
      <c r="H38" s="7"/>
      <c r="I38" s="7"/>
      <c r="J38" s="7"/>
      <c r="K38" s="7"/>
      <c r="L38" s="7"/>
      <c r="M38" s="7"/>
      <c r="N38" s="7"/>
      <c r="O38" s="15"/>
      <c r="P38" s="15"/>
      <c r="Q38" s="15"/>
      <c r="R38" s="7"/>
      <c r="S38" s="56"/>
      <c r="T38" s="56" t="s">
        <v>20</v>
      </c>
      <c r="U38" s="56"/>
      <c r="V38" s="52"/>
      <c r="W38" s="52"/>
      <c r="X38" s="52"/>
      <c r="Y38" s="52"/>
      <c r="Z38" s="52"/>
      <c r="AA38" s="52"/>
      <c r="AB38" s="52"/>
      <c r="AC38" s="52"/>
      <c r="AD38" s="52"/>
      <c r="AE38" s="50"/>
      <c r="AF38" s="50"/>
      <c r="AG38" s="51"/>
      <c r="AH38" s="51"/>
      <c r="AI38" s="51"/>
      <c r="AJ38" s="50"/>
      <c r="AK38" s="9"/>
    </row>
    <row r="39" spans="1:37" ht="14.4" customHeight="1">
      <c r="A39" s="6"/>
      <c r="B39" s="56"/>
      <c r="C39" s="56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54"/>
      <c r="W39" s="55"/>
      <c r="X39" s="54"/>
      <c r="Y39" s="56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5"/>
      <c r="AK39" s="9"/>
    </row>
    <row r="40" spans="1:37" ht="14.4" customHeight="1">
      <c r="A40" s="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7"/>
      <c r="AI40" s="7"/>
      <c r="AJ40" s="7"/>
      <c r="AK40" s="9"/>
    </row>
    <row r="41" spans="1:37" ht="14.4" customHeight="1">
      <c r="A41" s="6"/>
      <c r="B41" s="58" t="s">
        <v>21</v>
      </c>
      <c r="C41" s="15"/>
      <c r="D41" s="15"/>
      <c r="E41" s="15"/>
      <c r="F41" s="15"/>
      <c r="G41" s="15"/>
      <c r="H41" s="15"/>
      <c r="I41" s="15"/>
      <c r="J41" s="15"/>
      <c r="K41" s="59"/>
      <c r="L41" s="261"/>
      <c r="M41" s="261"/>
      <c r="N41" s="261"/>
      <c r="O41" s="261"/>
      <c r="P41" s="7"/>
      <c r="Q41" s="18"/>
      <c r="R41" s="7"/>
      <c r="S41" s="7"/>
      <c r="T41" s="57"/>
      <c r="U41" s="56"/>
      <c r="V41" s="56"/>
      <c r="W41" s="56"/>
      <c r="X41" s="56"/>
      <c r="Y41" s="56"/>
      <c r="Z41" s="56"/>
      <c r="AA41" s="56"/>
      <c r="AB41" s="15"/>
      <c r="AC41" s="59"/>
      <c r="AD41" s="59"/>
      <c r="AE41" s="15"/>
      <c r="AF41" s="15"/>
      <c r="AG41" s="7"/>
      <c r="AH41" s="7"/>
      <c r="AI41" s="18"/>
      <c r="AJ41" s="7"/>
      <c r="AK41" s="9"/>
    </row>
    <row r="42" spans="1:37" ht="15.75" customHeight="1">
      <c r="A42" s="49"/>
      <c r="B42" s="60"/>
      <c r="C42" s="61" t="s">
        <v>22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8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9"/>
    </row>
    <row r="43" spans="1:37" ht="15.75" customHeight="1">
      <c r="A43" s="49"/>
      <c r="B43" s="62"/>
      <c r="C43" s="63" t="s">
        <v>23</v>
      </c>
      <c r="D43" s="56"/>
      <c r="E43" s="56"/>
      <c r="F43" s="56"/>
      <c r="G43" s="56"/>
      <c r="H43" s="56"/>
      <c r="I43" s="56"/>
      <c r="J43" s="56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56"/>
      <c r="AG43" s="56"/>
      <c r="AH43" s="65"/>
      <c r="AI43" s="7"/>
      <c r="AJ43" s="56"/>
      <c r="AK43" s="9"/>
    </row>
    <row r="44" spans="1:37" ht="15.75" customHeight="1">
      <c r="A44" s="49"/>
      <c r="B44" s="66"/>
      <c r="C44" s="61" t="s">
        <v>24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65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67"/>
      <c r="AG44" s="67"/>
      <c r="AH44" s="67"/>
      <c r="AI44" s="67"/>
      <c r="AJ44" s="67"/>
      <c r="AK44" s="9"/>
    </row>
    <row r="45" spans="1:37" ht="36" customHeight="1">
      <c r="A45" s="68"/>
      <c r="B45" s="364"/>
      <c r="C45" s="365"/>
      <c r="D45" s="365"/>
      <c r="E45" s="366"/>
      <c r="F45" s="366"/>
      <c r="G45" s="366"/>
      <c r="H45" s="366"/>
      <c r="I45" s="366"/>
      <c r="J45" s="366"/>
      <c r="K45" s="366"/>
      <c r="L45" s="366"/>
      <c r="M45" s="366"/>
      <c r="N45" s="365"/>
      <c r="O45" s="365"/>
      <c r="P45" s="365"/>
      <c r="Q45" s="365"/>
      <c r="R45" s="365"/>
      <c r="S45" s="7"/>
      <c r="T45" s="8"/>
      <c r="U45" s="7"/>
      <c r="V45" s="7"/>
      <c r="W45" s="13"/>
      <c r="X45" s="13"/>
      <c r="Y45" s="13"/>
      <c r="Z45" s="13"/>
      <c r="AA45" s="13"/>
      <c r="AB45" s="13"/>
      <c r="AC45" s="13"/>
      <c r="AD45" s="13"/>
      <c r="AE45" s="13"/>
      <c r="AF45" s="7"/>
      <c r="AG45" s="7"/>
      <c r="AH45" s="7"/>
      <c r="AI45" s="7"/>
      <c r="AJ45" s="7"/>
      <c r="AK45" s="9"/>
    </row>
    <row r="46" spans="1:37" ht="21" customHeight="1">
      <c r="A46" s="6"/>
      <c r="B46" s="11"/>
      <c r="C46" s="7"/>
      <c r="D46" s="69"/>
      <c r="E46" s="361" t="s">
        <v>97</v>
      </c>
      <c r="F46" s="362"/>
      <c r="G46" s="362"/>
      <c r="H46" s="362"/>
      <c r="I46" s="362"/>
      <c r="J46" s="362"/>
      <c r="K46" s="362"/>
      <c r="L46" s="362"/>
      <c r="M46" s="363"/>
      <c r="N46" s="70"/>
      <c r="O46" s="7"/>
      <c r="P46" s="7"/>
      <c r="Q46" s="7"/>
      <c r="R46" s="7"/>
      <c r="S46" s="7"/>
      <c r="T46" s="71"/>
      <c r="U46" s="7"/>
      <c r="V46" s="69"/>
      <c r="W46" s="358" t="s">
        <v>25</v>
      </c>
      <c r="X46" s="359"/>
      <c r="Y46" s="359"/>
      <c r="Z46" s="359"/>
      <c r="AA46" s="359"/>
      <c r="AB46" s="359"/>
      <c r="AC46" s="359"/>
      <c r="AD46" s="359"/>
      <c r="AE46" s="360"/>
      <c r="AF46" s="70"/>
      <c r="AG46" s="7"/>
      <c r="AH46" s="7"/>
      <c r="AI46" s="7"/>
      <c r="AJ46" s="7"/>
      <c r="AK46" s="9"/>
    </row>
    <row r="47" spans="1:37" ht="15" customHeight="1" thickBot="1">
      <c r="A47" s="6"/>
      <c r="B47" s="72"/>
      <c r="C47" s="13"/>
      <c r="D47" s="13"/>
      <c r="E47" s="20"/>
      <c r="F47" s="20"/>
      <c r="G47" s="20"/>
      <c r="H47" s="20"/>
      <c r="I47" s="73"/>
      <c r="J47" s="73"/>
      <c r="K47" s="73"/>
      <c r="L47" s="20"/>
      <c r="M47" s="20"/>
      <c r="N47" s="13"/>
      <c r="O47" s="13"/>
      <c r="P47" s="13"/>
      <c r="Q47" s="13"/>
      <c r="R47" s="13"/>
      <c r="S47" s="7"/>
      <c r="T47" s="21"/>
      <c r="U47" s="13"/>
      <c r="V47" s="13"/>
      <c r="W47" s="20"/>
      <c r="X47" s="20"/>
      <c r="Y47" s="20"/>
      <c r="Z47" s="20"/>
      <c r="AA47" s="73"/>
      <c r="AB47" s="73"/>
      <c r="AC47" s="73"/>
      <c r="AD47" s="20"/>
      <c r="AE47" s="20"/>
      <c r="AF47" s="13"/>
      <c r="AG47" s="13"/>
      <c r="AH47" s="13"/>
      <c r="AI47" s="13"/>
      <c r="AJ47" s="13"/>
      <c r="AK47" s="9"/>
    </row>
    <row r="48" spans="1:37" ht="30" customHeight="1" thickBot="1">
      <c r="A48" s="22"/>
      <c r="B48" s="306" t="s">
        <v>4</v>
      </c>
      <c r="C48" s="307" t="s">
        <v>5</v>
      </c>
      <c r="D48" s="308" t="s">
        <v>6</v>
      </c>
      <c r="E48" s="308" t="s">
        <v>7</v>
      </c>
      <c r="F48" s="308" t="s">
        <v>8</v>
      </c>
      <c r="G48" s="308" t="s">
        <v>9</v>
      </c>
      <c r="H48" s="308" t="s">
        <v>10</v>
      </c>
      <c r="I48" s="308" t="s">
        <v>11</v>
      </c>
      <c r="J48" s="308" t="s">
        <v>12</v>
      </c>
      <c r="K48" s="308" t="s">
        <v>13</v>
      </c>
      <c r="L48" s="308" t="s">
        <v>14</v>
      </c>
      <c r="M48" s="308" t="s">
        <v>15</v>
      </c>
      <c r="N48" s="309" t="s">
        <v>16</v>
      </c>
      <c r="O48" s="307" t="s">
        <v>17</v>
      </c>
      <c r="P48" s="309" t="s">
        <v>18</v>
      </c>
      <c r="Q48" s="307" t="s">
        <v>19</v>
      </c>
      <c r="R48" s="309" t="s">
        <v>18</v>
      </c>
      <c r="S48" s="26"/>
      <c r="T48" s="318" t="s">
        <v>4</v>
      </c>
      <c r="U48" s="307" t="s">
        <v>5</v>
      </c>
      <c r="V48" s="308" t="s">
        <v>6</v>
      </c>
      <c r="W48" s="308" t="s">
        <v>7</v>
      </c>
      <c r="X48" s="308" t="s">
        <v>8</v>
      </c>
      <c r="Y48" s="308" t="s">
        <v>9</v>
      </c>
      <c r="Z48" s="308" t="s">
        <v>10</v>
      </c>
      <c r="AA48" s="308" t="s">
        <v>11</v>
      </c>
      <c r="AB48" s="308" t="s">
        <v>12</v>
      </c>
      <c r="AC48" s="308" t="s">
        <v>13</v>
      </c>
      <c r="AD48" s="308" t="s">
        <v>14</v>
      </c>
      <c r="AE48" s="308" t="s">
        <v>15</v>
      </c>
      <c r="AF48" s="309" t="s">
        <v>16</v>
      </c>
      <c r="AG48" s="307" t="s">
        <v>17</v>
      </c>
      <c r="AH48" s="309" t="s">
        <v>18</v>
      </c>
      <c r="AI48" s="307" t="s">
        <v>19</v>
      </c>
      <c r="AJ48" s="309" t="s">
        <v>18</v>
      </c>
      <c r="AK48" s="74"/>
    </row>
    <row r="49" spans="1:37" ht="14.4" customHeight="1">
      <c r="A49" s="6"/>
      <c r="B49" s="282">
        <v>2002</v>
      </c>
      <c r="C49" s="310">
        <v>0.128372445138622</v>
      </c>
      <c r="D49" s="311">
        <v>0.13241341314473401</v>
      </c>
      <c r="E49" s="311">
        <v>0.134449440735286</v>
      </c>
      <c r="F49" s="311">
        <v>0.13386664897682399</v>
      </c>
      <c r="G49" s="311">
        <v>0.12846626333542099</v>
      </c>
      <c r="H49" s="311">
        <v>0.123396074786911</v>
      </c>
      <c r="I49" s="311">
        <v>9.7693227490055295E-2</v>
      </c>
      <c r="J49" s="311">
        <v>9.1655866459007404E-2</v>
      </c>
      <c r="K49" s="311">
        <v>8.3379441322114903E-2</v>
      </c>
      <c r="L49" s="311">
        <v>0.102887441623494</v>
      </c>
      <c r="M49" s="311">
        <v>9.2343199852855801E-2</v>
      </c>
      <c r="N49" s="311">
        <v>9.9787452610928404E-2</v>
      </c>
      <c r="O49" s="300">
        <f t="shared" ref="O49:O68" si="16">AVERAGE(C49:N49)</f>
        <v>0.1123925762896878</v>
      </c>
      <c r="P49" s="301"/>
      <c r="Q49" s="316">
        <v>0.111068876859216</v>
      </c>
      <c r="R49" s="301"/>
      <c r="S49" s="7"/>
      <c r="T49" s="319">
        <v>2002</v>
      </c>
      <c r="U49" s="311">
        <v>0.128372445138622</v>
      </c>
      <c r="V49" s="311">
        <v>0.13241341314473401</v>
      </c>
      <c r="W49" s="311">
        <v>0.134449440735286</v>
      </c>
      <c r="X49" s="311">
        <v>0.13386664897682399</v>
      </c>
      <c r="Y49" s="311">
        <v>0.12846626333542099</v>
      </c>
      <c r="Z49" s="311">
        <v>0.123396074786911</v>
      </c>
      <c r="AA49" s="311">
        <v>9.7693227490055295E-2</v>
      </c>
      <c r="AB49" s="311">
        <v>9.1655866459007404E-2</v>
      </c>
      <c r="AC49" s="311">
        <v>8.3379441322114903E-2</v>
      </c>
      <c r="AD49" s="311">
        <v>0.102887441623494</v>
      </c>
      <c r="AE49" s="311">
        <v>9.2343199852855801E-2</v>
      </c>
      <c r="AF49" s="311">
        <v>9.9787452610928404E-2</v>
      </c>
      <c r="AG49" s="300">
        <f t="shared" ref="AG49:AG70" si="17">AVERAGE(U49:AF49)</f>
        <v>0.1123925762896878</v>
      </c>
      <c r="AH49" s="301"/>
      <c r="AI49" s="316">
        <v>0.111068876859216</v>
      </c>
      <c r="AJ49" s="301"/>
      <c r="AK49" s="317"/>
    </row>
    <row r="50" spans="1:37" ht="14.4" customHeight="1">
      <c r="A50" s="6"/>
      <c r="B50" s="283">
        <v>2003</v>
      </c>
      <c r="C50" s="312">
        <v>9.7765298772042E-2</v>
      </c>
      <c r="D50" s="38">
        <v>0.10278486484121301</v>
      </c>
      <c r="E50" s="38">
        <v>0.118971371519889</v>
      </c>
      <c r="F50" s="38">
        <v>0.12044267304157801</v>
      </c>
      <c r="G50" s="38">
        <v>0.11951940768321601</v>
      </c>
      <c r="H50" s="38">
        <v>0.14556341567739001</v>
      </c>
      <c r="I50" s="38">
        <v>0.142466768520356</v>
      </c>
      <c r="J50" s="38">
        <v>0.13770810978575401</v>
      </c>
      <c r="K50" s="38">
        <v>0.13695774030424099</v>
      </c>
      <c r="L50" s="38">
        <v>0.133737641305326</v>
      </c>
      <c r="M50" s="38">
        <v>0.12969255453938799</v>
      </c>
      <c r="N50" s="38">
        <v>0.12726941438463199</v>
      </c>
      <c r="O50" s="302">
        <f t="shared" si="16"/>
        <v>0.12607327169791874</v>
      </c>
      <c r="P50" s="293">
        <f t="shared" ref="P50:P68" si="18">O50/O49-1</f>
        <v>0.121722411389249</v>
      </c>
      <c r="Q50" s="109">
        <v>0.12691891171451999</v>
      </c>
      <c r="R50" s="293">
        <f t="shared" ref="R50:R68" si="19">Q50/Q49-1</f>
        <v>0.14270455687955241</v>
      </c>
      <c r="S50" s="7"/>
      <c r="T50" s="320">
        <v>2003</v>
      </c>
      <c r="U50" s="38">
        <v>9.7765298772042E-2</v>
      </c>
      <c r="V50" s="38">
        <v>0.10278486484121301</v>
      </c>
      <c r="W50" s="38">
        <v>0.118971371519889</v>
      </c>
      <c r="X50" s="38">
        <v>0.12044267304157801</v>
      </c>
      <c r="Y50" s="38">
        <v>0.11951940768321601</v>
      </c>
      <c r="Z50" s="38">
        <v>0.14556341567739001</v>
      </c>
      <c r="AA50" s="38">
        <v>0.142466768520356</v>
      </c>
      <c r="AB50" s="38">
        <v>0.13770810978575401</v>
      </c>
      <c r="AC50" s="38">
        <v>0.13695774030424099</v>
      </c>
      <c r="AD50" s="38">
        <v>0.133737641305326</v>
      </c>
      <c r="AE50" s="38">
        <v>0.12969255453938799</v>
      </c>
      <c r="AF50" s="38">
        <v>0.12726941438463199</v>
      </c>
      <c r="AG50" s="302">
        <f t="shared" si="17"/>
        <v>0.12607327169791874</v>
      </c>
      <c r="AH50" s="293">
        <f t="shared" ref="AH50:AJ71" si="20">AG50/AG49-1</f>
        <v>0.121722411389249</v>
      </c>
      <c r="AI50" s="109">
        <v>0.12691891171451999</v>
      </c>
      <c r="AJ50" s="293">
        <f t="shared" ref="AJ50:AJ68" si="21">AI50/AI49-1</f>
        <v>0.14270455687955241</v>
      </c>
      <c r="AK50" s="9"/>
    </row>
    <row r="51" spans="1:37" ht="14.4" customHeight="1">
      <c r="A51" s="6"/>
      <c r="B51" s="283">
        <v>2004</v>
      </c>
      <c r="C51" s="312">
        <v>0.12953558976660101</v>
      </c>
      <c r="D51" s="38">
        <v>0.13193846100405601</v>
      </c>
      <c r="E51" s="38">
        <v>0.13929011735088301</v>
      </c>
      <c r="F51" s="38">
        <v>0.14172130909647501</v>
      </c>
      <c r="G51" s="38">
        <v>0.147526456017535</v>
      </c>
      <c r="H51" s="38">
        <v>0.14589342545501399</v>
      </c>
      <c r="I51" s="38">
        <v>0.14564443939719399</v>
      </c>
      <c r="J51" s="38">
        <v>0.14676342204048101</v>
      </c>
      <c r="K51" s="38">
        <v>0.15385852493726501</v>
      </c>
      <c r="L51" s="38">
        <v>0.157043692071478</v>
      </c>
      <c r="M51" s="38">
        <v>0.15563110920526199</v>
      </c>
      <c r="N51" s="38">
        <v>0.15406206254107899</v>
      </c>
      <c r="O51" s="302">
        <f t="shared" si="16"/>
        <v>0.14574238407361026</v>
      </c>
      <c r="P51" s="293">
        <f t="shared" si="18"/>
        <v>0.15601334137516654</v>
      </c>
      <c r="Q51" s="109">
        <v>0.14691818383174399</v>
      </c>
      <c r="R51" s="293">
        <f t="shared" si="19"/>
        <v>0.15757519385454999</v>
      </c>
      <c r="S51" s="7"/>
      <c r="T51" s="320">
        <v>2004</v>
      </c>
      <c r="U51" s="38">
        <v>0.12953558976660101</v>
      </c>
      <c r="V51" s="38">
        <v>0.13193846100405601</v>
      </c>
      <c r="W51" s="38">
        <v>0.13929011735088301</v>
      </c>
      <c r="X51" s="38">
        <v>0.14172130909647501</v>
      </c>
      <c r="Y51" s="38">
        <v>0.147526456017535</v>
      </c>
      <c r="Z51" s="38">
        <v>0.14589342545501399</v>
      </c>
      <c r="AA51" s="38">
        <v>0.14564443939719399</v>
      </c>
      <c r="AB51" s="38">
        <v>0.14676342204048101</v>
      </c>
      <c r="AC51" s="38">
        <v>0.15385852493726501</v>
      </c>
      <c r="AD51" s="38">
        <v>0.157043692071478</v>
      </c>
      <c r="AE51" s="38">
        <v>0.15563110920526199</v>
      </c>
      <c r="AF51" s="38">
        <v>0.15406206254107899</v>
      </c>
      <c r="AG51" s="302">
        <f t="shared" si="17"/>
        <v>0.14574238407361026</v>
      </c>
      <c r="AH51" s="293">
        <f t="shared" si="20"/>
        <v>0.15601334137516654</v>
      </c>
      <c r="AI51" s="109">
        <v>0.14691818383174399</v>
      </c>
      <c r="AJ51" s="293">
        <f t="shared" si="21"/>
        <v>0.15757519385454999</v>
      </c>
      <c r="AK51" s="9"/>
    </row>
    <row r="52" spans="1:37" ht="14.4" customHeight="1">
      <c r="A52" s="6"/>
      <c r="B52" s="283">
        <v>2005</v>
      </c>
      <c r="C52" s="312">
        <v>0.16157886664731599</v>
      </c>
      <c r="D52" s="38">
        <v>0.166280818915548</v>
      </c>
      <c r="E52" s="38">
        <v>0.16690059246344599</v>
      </c>
      <c r="F52" s="38">
        <v>0.174455635554984</v>
      </c>
      <c r="G52" s="38">
        <v>0.17762111465536201</v>
      </c>
      <c r="H52" s="38">
        <v>0.17870282166228901</v>
      </c>
      <c r="I52" s="38">
        <v>0.17446722316410199</v>
      </c>
      <c r="J52" s="38">
        <v>0.169146113096004</v>
      </c>
      <c r="K52" s="38">
        <v>0.17529915121129999</v>
      </c>
      <c r="L52" s="38">
        <v>0.17651084225261501</v>
      </c>
      <c r="M52" s="38">
        <v>0.177132176591586</v>
      </c>
      <c r="N52" s="38">
        <v>0.17543486228190999</v>
      </c>
      <c r="O52" s="302">
        <f t="shared" si="16"/>
        <v>0.17279418487470519</v>
      </c>
      <c r="P52" s="293">
        <f t="shared" si="18"/>
        <v>0.18561382107919844</v>
      </c>
      <c r="Q52" s="109">
        <v>0.17319959752118</v>
      </c>
      <c r="R52" s="293">
        <f t="shared" si="19"/>
        <v>0.17888468945092884</v>
      </c>
      <c r="S52" s="7"/>
      <c r="T52" s="320">
        <v>2005</v>
      </c>
      <c r="U52" s="38">
        <v>0.16157886664731599</v>
      </c>
      <c r="V52" s="38">
        <v>0.166280818915548</v>
      </c>
      <c r="W52" s="38">
        <v>0.16690059246344599</v>
      </c>
      <c r="X52" s="38">
        <v>0.174455635554984</v>
      </c>
      <c r="Y52" s="38">
        <v>0.17762111465536201</v>
      </c>
      <c r="Z52" s="38">
        <v>0.17870282166228901</v>
      </c>
      <c r="AA52" s="38">
        <v>0.17446722316410199</v>
      </c>
      <c r="AB52" s="38">
        <v>0.169146113096004</v>
      </c>
      <c r="AC52" s="38">
        <v>0.17529915121129999</v>
      </c>
      <c r="AD52" s="38">
        <v>0.17651084225261501</v>
      </c>
      <c r="AE52" s="38">
        <v>0.177132176591586</v>
      </c>
      <c r="AF52" s="38">
        <v>0.17543486228190999</v>
      </c>
      <c r="AG52" s="302">
        <f t="shared" si="17"/>
        <v>0.17279418487470519</v>
      </c>
      <c r="AH52" s="293">
        <f t="shared" si="20"/>
        <v>0.18561382107919844</v>
      </c>
      <c r="AI52" s="109">
        <v>0.17319959752118</v>
      </c>
      <c r="AJ52" s="293">
        <f t="shared" si="21"/>
        <v>0.17888468945092884</v>
      </c>
      <c r="AK52" s="9"/>
    </row>
    <row r="53" spans="1:37" ht="14.4" customHeight="1">
      <c r="A53" s="6"/>
      <c r="B53" s="283">
        <v>2006</v>
      </c>
      <c r="C53" s="312">
        <v>0.16471423442960301</v>
      </c>
      <c r="D53" s="38">
        <v>0.16819890076971</v>
      </c>
      <c r="E53" s="38">
        <v>0.18203849058941299</v>
      </c>
      <c r="F53" s="38">
        <v>0.18614346683187699</v>
      </c>
      <c r="G53" s="38">
        <v>0.18639537302011799</v>
      </c>
      <c r="H53" s="38">
        <v>0.18513831474674999</v>
      </c>
      <c r="I53" s="38">
        <v>0.18173798709303399</v>
      </c>
      <c r="J53" s="38">
        <v>0.173712918727599</v>
      </c>
      <c r="K53" s="38">
        <v>0.161648942094026</v>
      </c>
      <c r="L53" s="38">
        <v>0.16026812199033499</v>
      </c>
      <c r="M53" s="38">
        <v>0.15668478292565499</v>
      </c>
      <c r="N53" s="38">
        <v>0.15221883404297701</v>
      </c>
      <c r="O53" s="302">
        <f t="shared" si="16"/>
        <v>0.17157503060509141</v>
      </c>
      <c r="P53" s="293">
        <f t="shared" si="18"/>
        <v>-7.0555283471940289E-3</v>
      </c>
      <c r="Q53" s="109">
        <v>0.17005578456324</v>
      </c>
      <c r="R53" s="293">
        <f t="shared" si="19"/>
        <v>-1.8151387202591795E-2</v>
      </c>
      <c r="S53" s="7"/>
      <c r="T53" s="320">
        <v>2006</v>
      </c>
      <c r="U53" s="38">
        <v>0.16471423442960301</v>
      </c>
      <c r="V53" s="38">
        <v>0.16819890076971</v>
      </c>
      <c r="W53" s="38">
        <v>0.18203849058941299</v>
      </c>
      <c r="X53" s="38">
        <v>0.18614346683187699</v>
      </c>
      <c r="Y53" s="38">
        <v>0.18639537302011799</v>
      </c>
      <c r="Z53" s="38">
        <v>0.18513831474674999</v>
      </c>
      <c r="AA53" s="38">
        <v>0.18173798709303399</v>
      </c>
      <c r="AB53" s="38">
        <v>0.173712918727599</v>
      </c>
      <c r="AC53" s="38">
        <v>0.161648942094026</v>
      </c>
      <c r="AD53" s="38">
        <v>0.16026812199033499</v>
      </c>
      <c r="AE53" s="38">
        <v>0.15668478292565499</v>
      </c>
      <c r="AF53" s="38">
        <v>0.15221883404297701</v>
      </c>
      <c r="AG53" s="302">
        <f t="shared" si="17"/>
        <v>0.17157503060509141</v>
      </c>
      <c r="AH53" s="293">
        <f t="shared" si="20"/>
        <v>-7.0555283471940289E-3</v>
      </c>
      <c r="AI53" s="109">
        <v>0.17005578456324</v>
      </c>
      <c r="AJ53" s="293">
        <f t="shared" si="21"/>
        <v>-1.8151387202591795E-2</v>
      </c>
      <c r="AK53" s="9"/>
    </row>
    <row r="54" spans="1:37" ht="14.4" customHeight="1">
      <c r="A54" s="6"/>
      <c r="B54" s="283">
        <v>2007</v>
      </c>
      <c r="C54" s="312">
        <v>0.172722317327236</v>
      </c>
      <c r="D54" s="38">
        <v>0.17818643480641799</v>
      </c>
      <c r="E54" s="38">
        <v>0.202049317478497</v>
      </c>
      <c r="F54" s="38">
        <v>0.21558603522483299</v>
      </c>
      <c r="G54" s="38">
        <v>0.245948918953557</v>
      </c>
      <c r="H54" s="38">
        <v>0.24483081494693801</v>
      </c>
      <c r="I54" s="38">
        <v>0.242094871271643</v>
      </c>
      <c r="J54" s="38">
        <v>0.27600000000000002</v>
      </c>
      <c r="K54" s="38">
        <v>0.311506024096386</v>
      </c>
      <c r="L54" s="38">
        <v>0.33079999999999998</v>
      </c>
      <c r="M54" s="38">
        <v>0.33100000000000002</v>
      </c>
      <c r="N54" s="38">
        <v>0.34739999999999999</v>
      </c>
      <c r="O54" s="302">
        <f t="shared" si="16"/>
        <v>0.25817706117545897</v>
      </c>
      <c r="P54" s="293">
        <f t="shared" si="18"/>
        <v>0.50474728324365903</v>
      </c>
      <c r="Q54" s="109">
        <v>0.26607669681185703</v>
      </c>
      <c r="R54" s="293">
        <f t="shared" si="19"/>
        <v>0.56464361089057191</v>
      </c>
      <c r="S54" s="7"/>
      <c r="T54" s="320">
        <v>2007</v>
      </c>
      <c r="U54" s="38">
        <v>0.172722317327236</v>
      </c>
      <c r="V54" s="38">
        <v>0.17818643480641799</v>
      </c>
      <c r="W54" s="38">
        <v>0.202049317478497</v>
      </c>
      <c r="X54" s="38">
        <v>0.21558603522483299</v>
      </c>
      <c r="Y54" s="38">
        <v>0.245948918953557</v>
      </c>
      <c r="Z54" s="38">
        <v>0.24483081494693801</v>
      </c>
      <c r="AA54" s="38">
        <v>0.242094871271643</v>
      </c>
      <c r="AB54" s="38">
        <v>0.27600000000000002</v>
      </c>
      <c r="AC54" s="38">
        <v>0.311506024096386</v>
      </c>
      <c r="AD54" s="38">
        <v>0.33079999999999998</v>
      </c>
      <c r="AE54" s="38">
        <v>0.33100000000000002</v>
      </c>
      <c r="AF54" s="38">
        <v>0.34739999999999999</v>
      </c>
      <c r="AG54" s="302">
        <f t="shared" si="17"/>
        <v>0.25817706117545897</v>
      </c>
      <c r="AH54" s="293">
        <f t="shared" si="20"/>
        <v>0.50474728324365903</v>
      </c>
      <c r="AI54" s="109">
        <v>0.26607669681185703</v>
      </c>
      <c r="AJ54" s="293">
        <f t="shared" si="21"/>
        <v>0.56464361089057191</v>
      </c>
      <c r="AK54" s="9"/>
    </row>
    <row r="55" spans="1:37" ht="14.4" customHeight="1">
      <c r="A55" s="6"/>
      <c r="B55" s="283">
        <v>2008</v>
      </c>
      <c r="C55" s="312">
        <v>0.37669999999999998</v>
      </c>
      <c r="D55" s="38">
        <v>0.38919999999999999</v>
      </c>
      <c r="E55" s="38">
        <v>0.40282954698355</v>
      </c>
      <c r="F55" s="38">
        <v>0.427933577484573</v>
      </c>
      <c r="G55" s="38">
        <v>0.42719130522290399</v>
      </c>
      <c r="H55" s="38">
        <v>0.436031599466502</v>
      </c>
      <c r="I55" s="38">
        <v>0.41554124246831498</v>
      </c>
      <c r="J55" s="38">
        <v>0.37324089603324101</v>
      </c>
      <c r="K55" s="38">
        <v>0.307481394437916</v>
      </c>
      <c r="L55" s="38">
        <v>0.242009735664929</v>
      </c>
      <c r="M55" s="38">
        <v>0.208303886382186</v>
      </c>
      <c r="N55" s="38">
        <v>0.19545846507617101</v>
      </c>
      <c r="O55" s="302">
        <f t="shared" si="16"/>
        <v>0.35016013743502383</v>
      </c>
      <c r="P55" s="293">
        <f t="shared" si="18"/>
        <v>0.35627904292028689</v>
      </c>
      <c r="Q55" s="109">
        <v>0.33952464426128998</v>
      </c>
      <c r="R55" s="293">
        <f t="shared" si="19"/>
        <v>0.27604051136191021</v>
      </c>
      <c r="S55" s="7"/>
      <c r="T55" s="320">
        <v>2008</v>
      </c>
      <c r="U55" s="38">
        <v>0.37669999999999998</v>
      </c>
      <c r="V55" s="38">
        <v>0.38919999999999999</v>
      </c>
      <c r="W55" s="38">
        <v>0.40282954698355</v>
      </c>
      <c r="X55" s="38">
        <v>0.427933577484573</v>
      </c>
      <c r="Y55" s="38">
        <v>0.42719130522290399</v>
      </c>
      <c r="Z55" s="38">
        <v>0.436031599466502</v>
      </c>
      <c r="AA55" s="38">
        <v>0.41554124246831498</v>
      </c>
      <c r="AB55" s="38">
        <v>0.37324089603324101</v>
      </c>
      <c r="AC55" s="38">
        <v>0.307481394437916</v>
      </c>
      <c r="AD55" s="38">
        <v>0.242009735664929</v>
      </c>
      <c r="AE55" s="38">
        <v>0.208303886382186</v>
      </c>
      <c r="AF55" s="38">
        <v>0.19545846507617101</v>
      </c>
      <c r="AG55" s="302">
        <f t="shared" si="17"/>
        <v>0.35016013743502383</v>
      </c>
      <c r="AH55" s="293">
        <f t="shared" si="20"/>
        <v>0.35627904292028689</v>
      </c>
      <c r="AI55" s="109">
        <v>0.33952464426128998</v>
      </c>
      <c r="AJ55" s="293">
        <f t="shared" si="21"/>
        <v>0.27604051136191021</v>
      </c>
      <c r="AK55" s="9"/>
    </row>
    <row r="56" spans="1:37" ht="14.4" customHeight="1">
      <c r="A56" s="6"/>
      <c r="B56" s="283">
        <v>2009</v>
      </c>
      <c r="C56" s="312">
        <v>0.19793902962644899</v>
      </c>
      <c r="D56" s="38">
        <v>0.204301075268817</v>
      </c>
      <c r="E56" s="38">
        <v>0.201834862385321</v>
      </c>
      <c r="F56" s="38">
        <v>0.20262117744955299</v>
      </c>
      <c r="G56" s="38">
        <v>0.21668474053418099</v>
      </c>
      <c r="H56" s="38">
        <v>0.22358260657108101</v>
      </c>
      <c r="I56" s="38">
        <v>0.22236047315451199</v>
      </c>
      <c r="J56" s="38">
        <v>0.216611237528444</v>
      </c>
      <c r="K56" s="38">
        <v>0.22969647251845801</v>
      </c>
      <c r="L56" s="38">
        <v>0.24354058847344601</v>
      </c>
      <c r="M56" s="38">
        <v>0.28542104491471598</v>
      </c>
      <c r="N56" s="38">
        <v>0.28016038166776602</v>
      </c>
      <c r="O56" s="302">
        <f t="shared" si="16"/>
        <v>0.22706280750772864</v>
      </c>
      <c r="P56" s="293">
        <f t="shared" si="18"/>
        <v>-0.35154581223608672</v>
      </c>
      <c r="Q56" s="109">
        <v>0.230222803200861</v>
      </c>
      <c r="R56" s="293">
        <f t="shared" si="19"/>
        <v>-0.32192608963110469</v>
      </c>
      <c r="S56" s="7"/>
      <c r="T56" s="320">
        <v>2009</v>
      </c>
      <c r="U56" s="38">
        <v>0.19793902962644899</v>
      </c>
      <c r="V56" s="38">
        <v>0.204301075268817</v>
      </c>
      <c r="W56" s="38">
        <v>0.201834862385321</v>
      </c>
      <c r="X56" s="38">
        <v>0.20262117744955299</v>
      </c>
      <c r="Y56" s="38">
        <v>0.21668474053418099</v>
      </c>
      <c r="Z56" s="38">
        <v>0.22358260657108101</v>
      </c>
      <c r="AA56" s="38">
        <v>0.22236047315451199</v>
      </c>
      <c r="AB56" s="38">
        <v>0.216611237528444</v>
      </c>
      <c r="AC56" s="38">
        <v>0.22969647251845801</v>
      </c>
      <c r="AD56" s="38">
        <v>0.24354058847344601</v>
      </c>
      <c r="AE56" s="38">
        <v>0.28542104491471598</v>
      </c>
      <c r="AF56" s="38">
        <v>0.28016038166776602</v>
      </c>
      <c r="AG56" s="302">
        <f t="shared" si="17"/>
        <v>0.22706280750772864</v>
      </c>
      <c r="AH56" s="293">
        <f t="shared" si="20"/>
        <v>-0.35154581223608672</v>
      </c>
      <c r="AI56" s="109">
        <v>0.230222803200861</v>
      </c>
      <c r="AJ56" s="293">
        <f t="shared" si="21"/>
        <v>-0.32192608963110469</v>
      </c>
      <c r="AK56" s="9"/>
    </row>
    <row r="57" spans="1:37" ht="14.4" customHeight="1">
      <c r="A57" s="6"/>
      <c r="B57" s="283">
        <v>2010</v>
      </c>
      <c r="C57" s="312">
        <v>0.28384066471591701</v>
      </c>
      <c r="D57" s="38">
        <v>0.30203379540625303</v>
      </c>
      <c r="E57" s="38">
        <v>0.321791014330154</v>
      </c>
      <c r="F57" s="38">
        <v>0.33746770025839801</v>
      </c>
      <c r="G57" s="38">
        <v>0.34004776243380702</v>
      </c>
      <c r="H57" s="38">
        <v>0.31825959423123901</v>
      </c>
      <c r="I57" s="38">
        <v>0.30864782856059197</v>
      </c>
      <c r="J57" s="38">
        <v>0.31688959202262801</v>
      </c>
      <c r="K57" s="38">
        <v>0.31663424124513601</v>
      </c>
      <c r="L57" s="38">
        <v>0.325500865693792</v>
      </c>
      <c r="M57" s="38">
        <v>0.32560236437409201</v>
      </c>
      <c r="N57" s="38">
        <v>0.34142678347934902</v>
      </c>
      <c r="O57" s="302">
        <f t="shared" si="16"/>
        <v>0.31984518389594646</v>
      </c>
      <c r="P57" s="293">
        <f t="shared" si="18"/>
        <v>0.40861987661744092</v>
      </c>
      <c r="Q57" s="109">
        <v>0.32018425988215998</v>
      </c>
      <c r="R57" s="293">
        <f t="shared" si="19"/>
        <v>0.3907582369362903</v>
      </c>
      <c r="S57" s="7"/>
      <c r="T57" s="320">
        <v>2010</v>
      </c>
      <c r="U57" s="38">
        <v>0.28384066471591701</v>
      </c>
      <c r="V57" s="38">
        <v>0.30203379540625303</v>
      </c>
      <c r="W57" s="38">
        <v>0.321791014330154</v>
      </c>
      <c r="X57" s="38">
        <v>0.33746770025839801</v>
      </c>
      <c r="Y57" s="38">
        <v>0.34004776243380702</v>
      </c>
      <c r="Z57" s="38">
        <v>0.31825959423123901</v>
      </c>
      <c r="AA57" s="38">
        <v>0.30864782856059197</v>
      </c>
      <c r="AB57" s="38">
        <v>0.31688959202262801</v>
      </c>
      <c r="AC57" s="38">
        <v>0.31663424124513601</v>
      </c>
      <c r="AD57" s="38">
        <v>0.325500865693792</v>
      </c>
      <c r="AE57" s="38">
        <v>0.32560236437409201</v>
      </c>
      <c r="AF57" s="38">
        <v>0.34142678347934902</v>
      </c>
      <c r="AG57" s="302">
        <f t="shared" si="17"/>
        <v>0.31984518389594646</v>
      </c>
      <c r="AH57" s="293">
        <f t="shared" si="20"/>
        <v>0.40861987661744092</v>
      </c>
      <c r="AI57" s="109">
        <v>0.32018425988215998</v>
      </c>
      <c r="AJ57" s="293">
        <f t="shared" si="21"/>
        <v>0.3907582369362903</v>
      </c>
      <c r="AK57" s="9"/>
    </row>
    <row r="58" spans="1:37" ht="14.4" customHeight="1">
      <c r="A58" s="6"/>
      <c r="B58" s="283">
        <v>2011</v>
      </c>
      <c r="C58" s="312">
        <v>0.36149431074413502</v>
      </c>
      <c r="D58" s="38">
        <v>0.39113562091503301</v>
      </c>
      <c r="E58" s="38">
        <v>0.424123306092893</v>
      </c>
      <c r="F58" s="38">
        <v>0.43732238711714599</v>
      </c>
      <c r="G58" s="38">
        <v>0.44449159284994399</v>
      </c>
      <c r="H58" s="38">
        <v>0.45008094981111701</v>
      </c>
      <c r="I58" s="38">
        <v>0.44698488378392998</v>
      </c>
      <c r="J58" s="38">
        <v>0.42368364954167598</v>
      </c>
      <c r="K58" s="38">
        <v>0.39901905686404698</v>
      </c>
      <c r="L58" s="38">
        <v>0.385348720521826</v>
      </c>
      <c r="M58" s="38">
        <v>0.37736797145872097</v>
      </c>
      <c r="N58" s="38">
        <v>0.37756634952428603</v>
      </c>
      <c r="O58" s="302">
        <f t="shared" si="16"/>
        <v>0.40988489993539617</v>
      </c>
      <c r="P58" s="293">
        <f t="shared" si="18"/>
        <v>0.28151030740153926</v>
      </c>
      <c r="Q58" s="109">
        <v>0.40811971389561402</v>
      </c>
      <c r="R58" s="293">
        <f t="shared" si="19"/>
        <v>0.27464015266027642</v>
      </c>
      <c r="S58" s="7"/>
      <c r="T58" s="320">
        <v>2011</v>
      </c>
      <c r="U58" s="38">
        <v>0.36149431074413502</v>
      </c>
      <c r="V58" s="38">
        <v>0.39113562091503301</v>
      </c>
      <c r="W58" s="38">
        <v>0.424123306092893</v>
      </c>
      <c r="X58" s="38">
        <v>0.43732238711714599</v>
      </c>
      <c r="Y58" s="38">
        <v>0.44449159284994399</v>
      </c>
      <c r="Z58" s="38">
        <v>0.45008094981111701</v>
      </c>
      <c r="AA58" s="38">
        <v>0.44698488378392998</v>
      </c>
      <c r="AB58" s="38">
        <v>0.42368364954167598</v>
      </c>
      <c r="AC58" s="38">
        <v>0.39901905686404698</v>
      </c>
      <c r="AD58" s="38">
        <v>0.385348720521826</v>
      </c>
      <c r="AE58" s="38">
        <v>0.37736797145872097</v>
      </c>
      <c r="AF58" s="38">
        <v>0.37756634952428603</v>
      </c>
      <c r="AG58" s="302">
        <f t="shared" si="17"/>
        <v>0.40988489993539617</v>
      </c>
      <c r="AH58" s="293">
        <f t="shared" si="20"/>
        <v>0.28151030740153926</v>
      </c>
      <c r="AI58" s="109">
        <v>0.40811971389561402</v>
      </c>
      <c r="AJ58" s="293">
        <f t="shared" si="21"/>
        <v>0.27464015266027642</v>
      </c>
      <c r="AK58" s="9"/>
    </row>
    <row r="59" spans="1:37" ht="14.4" customHeight="1">
      <c r="A59" s="6"/>
      <c r="B59" s="283">
        <v>2012</v>
      </c>
      <c r="C59" s="312">
        <v>0.41477707006369402</v>
      </c>
      <c r="D59" s="38">
        <v>0.39925910681210097</v>
      </c>
      <c r="E59" s="38">
        <v>0.41171650962720202</v>
      </c>
      <c r="F59" s="38">
        <v>0.41308876581474502</v>
      </c>
      <c r="G59" s="38">
        <v>0.39796321929998002</v>
      </c>
      <c r="H59" s="38">
        <v>0.367945407598672</v>
      </c>
      <c r="I59" s="38">
        <v>0.35924022756469098</v>
      </c>
      <c r="J59" s="38">
        <v>0.339277334584702</v>
      </c>
      <c r="K59" s="38">
        <v>0.34027712319728498</v>
      </c>
      <c r="L59" s="38">
        <v>0.35561736366345498</v>
      </c>
      <c r="M59" s="38">
        <v>0.35401810549739499</v>
      </c>
      <c r="N59" s="38">
        <v>0.36158309158723601</v>
      </c>
      <c r="O59" s="302">
        <f t="shared" si="16"/>
        <v>0.37623027710926316</v>
      </c>
      <c r="P59" s="293">
        <f t="shared" si="18"/>
        <v>-8.2107496107901246E-2</v>
      </c>
      <c r="Q59" s="109">
        <v>0.37415475605069098</v>
      </c>
      <c r="R59" s="293">
        <f t="shared" si="19"/>
        <v>-8.3223026696550018E-2</v>
      </c>
      <c r="S59" s="7"/>
      <c r="T59" s="320">
        <v>2012</v>
      </c>
      <c r="U59" s="38">
        <v>0.41477707006369402</v>
      </c>
      <c r="V59" s="38">
        <v>0.39925910681210097</v>
      </c>
      <c r="W59" s="38">
        <v>0.41171650962720202</v>
      </c>
      <c r="X59" s="38">
        <v>0.41308876581474502</v>
      </c>
      <c r="Y59" s="38">
        <v>0.39796321929998002</v>
      </c>
      <c r="Z59" s="38">
        <v>0.367945407598672</v>
      </c>
      <c r="AA59" s="38">
        <v>0.35924022756469098</v>
      </c>
      <c r="AB59" s="38">
        <v>0.339277334584702</v>
      </c>
      <c r="AC59" s="38">
        <v>0.34027712319728498</v>
      </c>
      <c r="AD59" s="38">
        <v>0.35561736366345498</v>
      </c>
      <c r="AE59" s="38">
        <v>0.35401810549739499</v>
      </c>
      <c r="AF59" s="38">
        <v>0.36158309158723601</v>
      </c>
      <c r="AG59" s="302">
        <f t="shared" si="17"/>
        <v>0.37623027710926316</v>
      </c>
      <c r="AH59" s="293">
        <f t="shared" si="20"/>
        <v>-8.2107496107901246E-2</v>
      </c>
      <c r="AI59" s="109">
        <v>0.37415475605069098</v>
      </c>
      <c r="AJ59" s="293">
        <f t="shared" si="21"/>
        <v>-8.3223026696550018E-2</v>
      </c>
      <c r="AK59" s="9"/>
    </row>
    <row r="60" spans="1:37" ht="14.4" customHeight="1">
      <c r="A60" s="6"/>
      <c r="B60" s="283">
        <v>2013</v>
      </c>
      <c r="C60" s="312">
        <v>0.37665562913907302</v>
      </c>
      <c r="D60" s="38">
        <v>0.39815832156124098</v>
      </c>
      <c r="E60" s="38">
        <v>0.42526315789473701</v>
      </c>
      <c r="F60" s="38">
        <v>0.444514667930689</v>
      </c>
      <c r="G60" s="38">
        <v>0.44451368333593</v>
      </c>
      <c r="H60" s="38">
        <v>0.405320435308343</v>
      </c>
      <c r="I60" s="38">
        <v>0.39529255445356598</v>
      </c>
      <c r="J60" s="38">
        <v>0.39113548092300698</v>
      </c>
      <c r="K60" s="38">
        <v>0.407315421088282</v>
      </c>
      <c r="L60" s="38">
        <v>0.43576709796672802</v>
      </c>
      <c r="M60" s="38">
        <v>0.444538130035601</v>
      </c>
      <c r="N60" s="38">
        <v>0.43626831437532199</v>
      </c>
      <c r="O60" s="302">
        <f t="shared" si="16"/>
        <v>0.41706190783437663</v>
      </c>
      <c r="P60" s="293">
        <f t="shared" si="18"/>
        <v>0.10852829559290189</v>
      </c>
      <c r="Q60" s="109">
        <v>0.41937677654780298</v>
      </c>
      <c r="R60" s="293">
        <f t="shared" si="19"/>
        <v>0.12086448124953209</v>
      </c>
      <c r="S60" s="7"/>
      <c r="T60" s="320">
        <v>2013</v>
      </c>
      <c r="U60" s="38">
        <v>0.37665562913907302</v>
      </c>
      <c r="V60" s="38">
        <v>0.39815832156124098</v>
      </c>
      <c r="W60" s="38">
        <v>0.42526315789473701</v>
      </c>
      <c r="X60" s="38">
        <v>0.444514667930689</v>
      </c>
      <c r="Y60" s="38">
        <v>0.44451368333593</v>
      </c>
      <c r="Z60" s="38">
        <v>0.405320435308343</v>
      </c>
      <c r="AA60" s="38">
        <v>0.39529255445356598</v>
      </c>
      <c r="AB60" s="38">
        <v>0.39113548092300698</v>
      </c>
      <c r="AC60" s="38">
        <v>0.407315421088282</v>
      </c>
      <c r="AD60" s="38">
        <v>0.43576709796672802</v>
      </c>
      <c r="AE60" s="38">
        <v>0.444538130035601</v>
      </c>
      <c r="AF60" s="38">
        <v>0.43626831437532199</v>
      </c>
      <c r="AG60" s="302">
        <f t="shared" si="17"/>
        <v>0.41706190783437663</v>
      </c>
      <c r="AH60" s="293">
        <f t="shared" si="20"/>
        <v>0.10852829559290189</v>
      </c>
      <c r="AI60" s="109">
        <v>0.41937677654780298</v>
      </c>
      <c r="AJ60" s="293">
        <f t="shared" si="21"/>
        <v>0.12086448124953209</v>
      </c>
      <c r="AK60" s="9"/>
    </row>
    <row r="61" spans="1:37" ht="14.4" customHeight="1">
      <c r="A61" s="6"/>
      <c r="B61" s="283">
        <v>2014</v>
      </c>
      <c r="C61" s="312">
        <v>0.45068341337273699</v>
      </c>
      <c r="D61" s="38">
        <v>0.45052292839903502</v>
      </c>
      <c r="E61" s="38">
        <v>0.46299977910315898</v>
      </c>
      <c r="F61" s="38">
        <v>0.46208375268017299</v>
      </c>
      <c r="G61" s="38">
        <v>0.45825731908609202</v>
      </c>
      <c r="H61" s="38">
        <v>0.45783237497821899</v>
      </c>
      <c r="I61" s="38">
        <v>0.44255097161239798</v>
      </c>
      <c r="J61" s="38">
        <v>0.41062394603710001</v>
      </c>
      <c r="K61" s="38">
        <v>0.39763148155763001</v>
      </c>
      <c r="L61" s="38">
        <v>0.378762954433295</v>
      </c>
      <c r="M61" s="38">
        <v>0.379277289209353</v>
      </c>
      <c r="N61" s="38">
        <v>0.37623926660306101</v>
      </c>
      <c r="O61" s="302">
        <f t="shared" si="16"/>
        <v>0.42728878975602091</v>
      </c>
      <c r="P61" s="293">
        <f t="shared" si="18"/>
        <v>2.4521256268039693E-2</v>
      </c>
      <c r="Q61" s="109">
        <v>0.42264838225031998</v>
      </c>
      <c r="R61" s="293">
        <f t="shared" si="19"/>
        <v>7.8011131885937779E-3</v>
      </c>
      <c r="S61" s="7"/>
      <c r="T61" s="320">
        <v>2014</v>
      </c>
      <c r="U61" s="38">
        <v>0.45068341337273699</v>
      </c>
      <c r="V61" s="38">
        <v>0.45052292839903502</v>
      </c>
      <c r="W61" s="38">
        <v>0.46299977910315898</v>
      </c>
      <c r="X61" s="38">
        <v>0.46208375268017299</v>
      </c>
      <c r="Y61" s="38">
        <v>0.45825731908609202</v>
      </c>
      <c r="Z61" s="38">
        <v>0.45783237497821899</v>
      </c>
      <c r="AA61" s="38">
        <v>0.44255097161239798</v>
      </c>
      <c r="AB61" s="38">
        <v>0.41062394603710001</v>
      </c>
      <c r="AC61" s="38">
        <v>0.39763148155763001</v>
      </c>
      <c r="AD61" s="38">
        <v>0.378762954433295</v>
      </c>
      <c r="AE61" s="38">
        <v>0.379277289209353</v>
      </c>
      <c r="AF61" s="38">
        <v>0.37623926660306101</v>
      </c>
      <c r="AG61" s="302">
        <f t="shared" si="17"/>
        <v>0.42728878975602091</v>
      </c>
      <c r="AH61" s="293">
        <f t="shared" si="20"/>
        <v>2.4521256268039693E-2</v>
      </c>
      <c r="AI61" s="109">
        <v>0.42264838225031998</v>
      </c>
      <c r="AJ61" s="293">
        <f t="shared" si="21"/>
        <v>7.8011131885937779E-3</v>
      </c>
      <c r="AK61" s="9"/>
    </row>
    <row r="62" spans="1:37" ht="14.4" customHeight="1">
      <c r="A62" s="6"/>
      <c r="B62" s="283">
        <v>2015</v>
      </c>
      <c r="C62" s="312">
        <v>0.368269398970548</v>
      </c>
      <c r="D62" s="38">
        <v>0.37208519795474798</v>
      </c>
      <c r="E62" s="38">
        <v>0.36099408959099399</v>
      </c>
      <c r="F62" s="38">
        <v>0.34169179672765299</v>
      </c>
      <c r="G62" s="38">
        <v>0.32144686310853898</v>
      </c>
      <c r="H62" s="38">
        <v>0.29426195843465303</v>
      </c>
      <c r="I62" s="38">
        <v>0.27530327707844499</v>
      </c>
      <c r="J62" s="38">
        <v>0.264359319911664</v>
      </c>
      <c r="K62" s="38">
        <v>0.262392521825282</v>
      </c>
      <c r="L62" s="38">
        <v>0.25787224714512202</v>
      </c>
      <c r="M62" s="38">
        <v>0.25329617911169</v>
      </c>
      <c r="N62" s="38">
        <v>0.25180230222905797</v>
      </c>
      <c r="O62" s="302">
        <f t="shared" si="16"/>
        <v>0.30198126267403297</v>
      </c>
      <c r="P62" s="293">
        <f t="shared" si="18"/>
        <v>-0.2932619111152851</v>
      </c>
      <c r="Q62" s="109">
        <v>0.29484615928250701</v>
      </c>
      <c r="R62" s="293">
        <f t="shared" si="19"/>
        <v>-0.30238427102773136</v>
      </c>
      <c r="S62" s="7"/>
      <c r="T62" s="320">
        <v>2015</v>
      </c>
      <c r="U62" s="38">
        <v>0.368269398970548</v>
      </c>
      <c r="V62" s="38">
        <v>0.37208519795474798</v>
      </c>
      <c r="W62" s="38">
        <v>0.36099408959099399</v>
      </c>
      <c r="X62" s="38">
        <v>0.34169179672765299</v>
      </c>
      <c r="Y62" s="38">
        <v>0.32144686310853898</v>
      </c>
      <c r="Z62" s="38">
        <v>0.29426195843465303</v>
      </c>
      <c r="AA62" s="38">
        <v>0.27530327707844499</v>
      </c>
      <c r="AB62" s="38">
        <v>0.264359319911664</v>
      </c>
      <c r="AC62" s="38">
        <v>0.262392521825282</v>
      </c>
      <c r="AD62" s="38">
        <v>0.25787224714512202</v>
      </c>
      <c r="AE62" s="38">
        <v>0.25329617911169</v>
      </c>
      <c r="AF62" s="38">
        <v>0.25180230222905797</v>
      </c>
      <c r="AG62" s="302">
        <f t="shared" si="17"/>
        <v>0.30198126267403297</v>
      </c>
      <c r="AH62" s="293">
        <f t="shared" si="20"/>
        <v>-0.2932619111152851</v>
      </c>
      <c r="AI62" s="109">
        <v>0.29484615928250701</v>
      </c>
      <c r="AJ62" s="293">
        <f t="shared" si="21"/>
        <v>-0.30238427102773136</v>
      </c>
      <c r="AK62" s="9"/>
    </row>
    <row r="63" spans="1:37" ht="14.4" customHeight="1">
      <c r="A63" s="6"/>
      <c r="B63" s="283">
        <v>2016</v>
      </c>
      <c r="C63" s="312">
        <v>0.23784801090271901</v>
      </c>
      <c r="D63" s="38">
        <v>0.235890652557319</v>
      </c>
      <c r="E63" s="38">
        <v>0.24438018841525999</v>
      </c>
      <c r="F63" s="38">
        <v>0.25289544661272401</v>
      </c>
      <c r="G63" s="43">
        <v>0.277560436515984</v>
      </c>
      <c r="H63" s="43">
        <v>0.28151468491146803</v>
      </c>
      <c r="I63" s="43">
        <v>0.29278956036426201</v>
      </c>
      <c r="J63" s="43">
        <v>0.30279413362366298</v>
      </c>
      <c r="K63" s="38">
        <v>0.30403057678943701</v>
      </c>
      <c r="L63" s="38">
        <v>0.31615217931867401</v>
      </c>
      <c r="M63" s="38">
        <v>0.309411109564249</v>
      </c>
      <c r="N63" s="38">
        <v>0.31310679611650499</v>
      </c>
      <c r="O63" s="302">
        <f t="shared" si="16"/>
        <v>0.280697814641022</v>
      </c>
      <c r="P63" s="293">
        <f t="shared" si="18"/>
        <v>-7.0479366317455661E-2</v>
      </c>
      <c r="Q63" s="109">
        <v>0.28465729192526501</v>
      </c>
      <c r="R63" s="293">
        <f t="shared" si="19"/>
        <v>-3.45565544487203E-2</v>
      </c>
      <c r="S63" s="7"/>
      <c r="T63" s="320">
        <v>2016</v>
      </c>
      <c r="U63" s="38">
        <v>0.23784801090271901</v>
      </c>
      <c r="V63" s="38">
        <v>0.235890652557319</v>
      </c>
      <c r="W63" s="38">
        <v>0.24438018841525999</v>
      </c>
      <c r="X63" s="38">
        <v>0.25289544661272401</v>
      </c>
      <c r="Y63" s="38">
        <v>0.27761859280483903</v>
      </c>
      <c r="Z63" s="38">
        <v>0.281369809604263</v>
      </c>
      <c r="AA63" s="38">
        <v>0.29263907846988702</v>
      </c>
      <c r="AB63" s="38">
        <v>0.30286248312623298</v>
      </c>
      <c r="AC63" s="38">
        <v>0.30403057678943701</v>
      </c>
      <c r="AD63" s="38">
        <v>0.31615217931867401</v>
      </c>
      <c r="AE63" s="38">
        <v>0.309411109564249</v>
      </c>
      <c r="AF63" s="38">
        <v>0.31310679611650499</v>
      </c>
      <c r="AG63" s="302">
        <f t="shared" si="17"/>
        <v>0.28068374369017574</v>
      </c>
      <c r="AH63" s="293">
        <f t="shared" si="20"/>
        <v>-7.0525961760900313E-2</v>
      </c>
      <c r="AI63" s="109">
        <v>0.28465729192526501</v>
      </c>
      <c r="AJ63" s="293">
        <f t="shared" si="21"/>
        <v>-3.45565544487203E-2</v>
      </c>
      <c r="AK63" s="9"/>
    </row>
    <row r="64" spans="1:37" ht="14.4" customHeight="1">
      <c r="A64" s="6"/>
      <c r="B64" s="284">
        <v>2017</v>
      </c>
      <c r="C64" s="312">
        <v>0.31561287616650902</v>
      </c>
      <c r="D64" s="38">
        <v>0.33553509943081999</v>
      </c>
      <c r="E64" s="38">
        <v>0.34733952702702697</v>
      </c>
      <c r="F64" s="38">
        <v>0.35454001337886798</v>
      </c>
      <c r="G64" s="38">
        <v>0.36365575343926598</v>
      </c>
      <c r="H64" s="38">
        <v>0.35694150810429898</v>
      </c>
      <c r="I64" s="38">
        <v>0.34600747180615199</v>
      </c>
      <c r="J64" s="43">
        <v>0.34746935735204798</v>
      </c>
      <c r="K64" s="43">
        <v>0.33873433866752201</v>
      </c>
      <c r="L64" s="43">
        <v>0.332034661771616</v>
      </c>
      <c r="M64" s="43">
        <v>0.33100470309965901</v>
      </c>
      <c r="N64" s="43">
        <v>0.33014515900907698</v>
      </c>
      <c r="O64" s="302">
        <f t="shared" si="16"/>
        <v>0.34158503910440524</v>
      </c>
      <c r="P64" s="293">
        <f t="shared" si="18"/>
        <v>0.21691378160977326</v>
      </c>
      <c r="Q64" s="109">
        <v>0.33864532425546001</v>
      </c>
      <c r="R64" s="293">
        <f t="shared" si="19"/>
        <v>0.18965975529750079</v>
      </c>
      <c r="S64" s="7"/>
      <c r="T64" s="284">
        <v>2017</v>
      </c>
      <c r="U64" s="38">
        <v>0.31561287616650902</v>
      </c>
      <c r="V64" s="38">
        <v>0.33553509943081999</v>
      </c>
      <c r="W64" s="38">
        <v>0.34733952702702697</v>
      </c>
      <c r="X64" s="38">
        <v>0.35454001337886798</v>
      </c>
      <c r="Y64" s="38">
        <v>0.36365575343926598</v>
      </c>
      <c r="Z64" s="38">
        <v>0.35694150810429898</v>
      </c>
      <c r="AA64" s="38">
        <v>0.34600747180615199</v>
      </c>
      <c r="AB64" s="38">
        <v>0.34281927878914698</v>
      </c>
      <c r="AC64" s="38">
        <v>0.33412887828162302</v>
      </c>
      <c r="AD64" s="38">
        <v>0.32743875430168001</v>
      </c>
      <c r="AE64" s="38">
        <v>0.32636584448017503</v>
      </c>
      <c r="AF64" s="38">
        <v>0.32548476454293601</v>
      </c>
      <c r="AG64" s="302">
        <f t="shared" si="17"/>
        <v>0.3396558141457085</v>
      </c>
      <c r="AH64" s="293">
        <f t="shared" si="20"/>
        <v>0.21010148176100762</v>
      </c>
      <c r="AI64" s="109">
        <v>0.33864532425546001</v>
      </c>
      <c r="AJ64" s="293">
        <f t="shared" si="21"/>
        <v>0.18965975529750079</v>
      </c>
      <c r="AK64" s="9"/>
    </row>
    <row r="65" spans="1:37" ht="14.4" customHeight="1">
      <c r="A65" s="6"/>
      <c r="B65" s="284">
        <v>2018</v>
      </c>
      <c r="C65" s="313">
        <v>0.33646605035115601</v>
      </c>
      <c r="D65" s="43">
        <v>0.34287976285141902</v>
      </c>
      <c r="E65" s="43">
        <v>0.36061871736649198</v>
      </c>
      <c r="F65" s="43">
        <v>0.357454009643485</v>
      </c>
      <c r="G65" s="43">
        <v>0.33938716950488601</v>
      </c>
      <c r="H65" s="43">
        <v>0.33416469651585301</v>
      </c>
      <c r="I65" s="43">
        <v>0.33259362075898302</v>
      </c>
      <c r="J65" s="38">
        <v>0.31858520079167502</v>
      </c>
      <c r="K65" s="38">
        <v>0.29909328789630601</v>
      </c>
      <c r="L65" s="38">
        <v>0.296478744754607</v>
      </c>
      <c r="M65" s="38">
        <v>0.28982389279896698</v>
      </c>
      <c r="N65" s="38">
        <v>0.29366114111876801</v>
      </c>
      <c r="O65" s="302">
        <f t="shared" si="16"/>
        <v>0.32510052452938304</v>
      </c>
      <c r="P65" s="293">
        <f t="shared" si="18"/>
        <v>-4.8258889260029081E-2</v>
      </c>
      <c r="Q65" s="109">
        <v>0.32229745657187803</v>
      </c>
      <c r="R65" s="293">
        <f t="shared" si="19"/>
        <v>-4.8274305040307719E-2</v>
      </c>
      <c r="S65" s="7"/>
      <c r="T65" s="284">
        <v>2018</v>
      </c>
      <c r="U65" s="38">
        <v>0.33159241473588302</v>
      </c>
      <c r="V65" s="38">
        <v>0.33800841514726498</v>
      </c>
      <c r="W65" s="38">
        <v>0.35573400958016299</v>
      </c>
      <c r="X65" s="38">
        <v>0.35243846452660899</v>
      </c>
      <c r="Y65" s="38">
        <v>0.33472940252601302</v>
      </c>
      <c r="Z65" s="38">
        <v>0.32965631575591398</v>
      </c>
      <c r="AA65" s="38">
        <v>0.328089887640449</v>
      </c>
      <c r="AB65" s="38">
        <v>0.31858520079167502</v>
      </c>
      <c r="AC65" s="38">
        <v>0.29909328789630601</v>
      </c>
      <c r="AD65" s="38">
        <v>0.296478744754607</v>
      </c>
      <c r="AE65" s="38">
        <v>0.28982389279896698</v>
      </c>
      <c r="AF65" s="38">
        <v>0.29366114111876801</v>
      </c>
      <c r="AG65" s="302">
        <f t="shared" si="17"/>
        <v>0.32232426477271819</v>
      </c>
      <c r="AH65" s="293">
        <f t="shared" si="20"/>
        <v>-5.1026800222990665E-2</v>
      </c>
      <c r="AI65" s="109">
        <v>0.319792087502487</v>
      </c>
      <c r="AJ65" s="293">
        <f t="shared" si="21"/>
        <v>-5.5672514582693289E-2</v>
      </c>
      <c r="AK65" s="9"/>
    </row>
    <row r="66" spans="1:37" ht="14.4" customHeight="1">
      <c r="A66" s="6"/>
      <c r="B66" s="284">
        <v>2019</v>
      </c>
      <c r="C66" s="312">
        <v>0.28928155101539998</v>
      </c>
      <c r="D66" s="43">
        <v>0.29653480527445603</v>
      </c>
      <c r="E66" s="43">
        <v>0.30318494281511699</v>
      </c>
      <c r="F66" s="43">
        <v>0.30847199437543898</v>
      </c>
      <c r="G66" s="43">
        <v>0.302022011773739</v>
      </c>
      <c r="H66" s="43">
        <v>0.30921985815602798</v>
      </c>
      <c r="I66" s="43">
        <v>0.30927835051546398</v>
      </c>
      <c r="J66" s="43">
        <v>0.30778216610112902</v>
      </c>
      <c r="K66" s="43">
        <v>0.30601509907061702</v>
      </c>
      <c r="L66" s="43">
        <v>0.30401329723063703</v>
      </c>
      <c r="M66" s="43">
        <v>0.29945003852387198</v>
      </c>
      <c r="N66" s="43">
        <v>0.31134761207928702</v>
      </c>
      <c r="O66" s="302">
        <f t="shared" si="16"/>
        <v>0.30388347724426534</v>
      </c>
      <c r="P66" s="293">
        <f t="shared" si="18"/>
        <v>-6.5263036151146148E-2</v>
      </c>
      <c r="Q66" s="109">
        <v>0.30410499557590598</v>
      </c>
      <c r="R66" s="293">
        <f t="shared" si="19"/>
        <v>-5.6446182323237837E-2</v>
      </c>
      <c r="S66" s="7"/>
      <c r="T66" s="284">
        <v>2019</v>
      </c>
      <c r="U66" s="38">
        <v>0.28928155101539998</v>
      </c>
      <c r="V66" s="38">
        <v>0.29408157007053098</v>
      </c>
      <c r="W66" s="38">
        <v>0.300183111698136</v>
      </c>
      <c r="X66" s="38">
        <v>0.30495664401218697</v>
      </c>
      <c r="Y66" s="38">
        <v>0.29889372351619597</v>
      </c>
      <c r="Z66" s="38">
        <v>0.30609929078014197</v>
      </c>
      <c r="AA66" s="38">
        <v>0.30669385176463798</v>
      </c>
      <c r="AB66" s="38">
        <v>0.30427768815709</v>
      </c>
      <c r="AC66" s="38">
        <v>0.30252650513750001</v>
      </c>
      <c r="AD66" s="38">
        <v>0.30052813597490702</v>
      </c>
      <c r="AE66" s="38">
        <v>0.29596960599378302</v>
      </c>
      <c r="AF66" s="38">
        <v>0.30011972861513903</v>
      </c>
      <c r="AG66" s="302">
        <f t="shared" si="17"/>
        <v>0.30030095056130407</v>
      </c>
      <c r="AH66" s="293">
        <f t="shared" si="20"/>
        <v>-6.8326578599174126E-2</v>
      </c>
      <c r="AI66" s="109">
        <v>0.30046525273006602</v>
      </c>
      <c r="AJ66" s="293">
        <f t="shared" si="21"/>
        <v>-6.0435625294420925E-2</v>
      </c>
      <c r="AK66" s="9"/>
    </row>
    <row r="67" spans="1:37" ht="14.4" customHeight="1">
      <c r="A67" s="6"/>
      <c r="B67" s="284">
        <v>2020</v>
      </c>
      <c r="C67" s="313">
        <v>0.32060012768674201</v>
      </c>
      <c r="D67" s="43">
        <v>0.32401955630322798</v>
      </c>
      <c r="E67" s="43">
        <v>0.28207553699559301</v>
      </c>
      <c r="F67" s="43">
        <v>0.28662625890161603</v>
      </c>
      <c r="G67" s="43">
        <v>0.29125028781947998</v>
      </c>
      <c r="H67" s="38">
        <v>0.288425403983465</v>
      </c>
      <c r="I67" s="38">
        <v>0.28936490041337798</v>
      </c>
      <c r="J67" s="43">
        <v>0.29022002075771403</v>
      </c>
      <c r="K67" s="43">
        <v>0.30295122571001398</v>
      </c>
      <c r="L67" s="43">
        <v>0.301111806798881</v>
      </c>
      <c r="M67" s="43">
        <v>0.30222519430022299</v>
      </c>
      <c r="N67" s="43">
        <v>0.30718432420892799</v>
      </c>
      <c r="O67" s="302">
        <f t="shared" si="16"/>
        <v>0.29883788698993852</v>
      </c>
      <c r="P67" s="293">
        <f t="shared" si="18"/>
        <v>-1.6603700537068389E-2</v>
      </c>
      <c r="Q67" s="109">
        <v>0.29874128780418102</v>
      </c>
      <c r="R67" s="293">
        <f t="shared" si="19"/>
        <v>-1.7637683858390152E-2</v>
      </c>
      <c r="S67" s="7"/>
      <c r="T67" s="284">
        <v>2020</v>
      </c>
      <c r="U67" s="38">
        <v>0.30964034901042797</v>
      </c>
      <c r="V67" s="38">
        <v>0.31332141730627699</v>
      </c>
      <c r="W67" s="38">
        <v>0.27916849318228998</v>
      </c>
      <c r="X67" s="38">
        <v>0.28369938466502298</v>
      </c>
      <c r="Y67" s="38">
        <v>0.28827999078977701</v>
      </c>
      <c r="Z67" s="38">
        <v>0.288425403983465</v>
      </c>
      <c r="AA67" s="38">
        <v>0.28936490041337798</v>
      </c>
      <c r="AB67" s="38">
        <v>0.28546651979281401</v>
      </c>
      <c r="AC67" s="38">
        <v>0.29818079122637697</v>
      </c>
      <c r="AD67" s="38">
        <v>0.29634314896807001</v>
      </c>
      <c r="AE67" s="38">
        <v>0.29744909899368099</v>
      </c>
      <c r="AF67" s="38">
        <v>0.30238701764317399</v>
      </c>
      <c r="AG67" s="302">
        <f t="shared" si="17"/>
        <v>0.29431054299789616</v>
      </c>
      <c r="AH67" s="293">
        <f t="shared" si="20"/>
        <v>-1.994801399133439E-2</v>
      </c>
      <c r="AI67" s="109">
        <v>0.29427909496996102</v>
      </c>
      <c r="AJ67" s="293">
        <f t="shared" si="21"/>
        <v>-2.0588596198384934E-2</v>
      </c>
      <c r="AK67" s="9"/>
    </row>
    <row r="68" spans="1:37" ht="14.4" customHeight="1">
      <c r="A68" s="6"/>
      <c r="B68" s="284">
        <v>2021</v>
      </c>
      <c r="C68" s="313">
        <v>0.32000371068925998</v>
      </c>
      <c r="D68" s="43">
        <v>0.32654156739736301</v>
      </c>
      <c r="E68" s="43">
        <v>0.31998370560081302</v>
      </c>
      <c r="F68" s="43">
        <v>0.34201742550745401</v>
      </c>
      <c r="G68" s="43">
        <v>0.354020630799461</v>
      </c>
      <c r="H68" s="43">
        <v>0.35518585860777802</v>
      </c>
      <c r="I68" s="43">
        <v>0.36076709929149398</v>
      </c>
      <c r="J68" s="43">
        <v>0.36641374204350302</v>
      </c>
      <c r="K68" s="43">
        <v>0.36669545569241302</v>
      </c>
      <c r="L68" s="43">
        <v>0.34832433483889003</v>
      </c>
      <c r="M68" s="43">
        <v>0.354965323488248</v>
      </c>
      <c r="N68" s="43">
        <v>0.35563825152968298</v>
      </c>
      <c r="O68" s="302">
        <f t="shared" si="16"/>
        <v>0.34754642545719666</v>
      </c>
      <c r="P68" s="293">
        <f t="shared" si="18"/>
        <v>0.16299318322009859</v>
      </c>
      <c r="Q68" s="109">
        <v>0.34930739892531898</v>
      </c>
      <c r="R68" s="293">
        <f t="shared" si="19"/>
        <v>0.16926388546026172</v>
      </c>
      <c r="S68" s="7"/>
      <c r="T68" s="284">
        <v>2021</v>
      </c>
      <c r="U68" s="38">
        <v>0.315204540080397</v>
      </c>
      <c r="V68" s="38">
        <v>0.32178797098057599</v>
      </c>
      <c r="W68" s="38">
        <v>0.31628411350081298</v>
      </c>
      <c r="X68" s="38">
        <v>0.33817192107053801</v>
      </c>
      <c r="Y68" s="38">
        <v>0.34920995794020698</v>
      </c>
      <c r="Z68" s="38">
        <v>0.35114678899082602</v>
      </c>
      <c r="AA68" s="38">
        <v>0.34996463851436099</v>
      </c>
      <c r="AB68" s="38">
        <v>0.35539102267468797</v>
      </c>
      <c r="AC68" s="38">
        <v>0.355545145801616</v>
      </c>
      <c r="AD68" s="38">
        <v>0.34253484959647801</v>
      </c>
      <c r="AE68" s="38">
        <v>0.34985223914525998</v>
      </c>
      <c r="AF68" s="38">
        <v>0.35059221658206402</v>
      </c>
      <c r="AG68" s="302">
        <f t="shared" si="17"/>
        <v>0.34130711707315192</v>
      </c>
      <c r="AH68" s="293">
        <f t="shared" si="20"/>
        <v>0.15968362395903601</v>
      </c>
      <c r="AI68" s="109">
        <v>0.34281851132805602</v>
      </c>
      <c r="AJ68" s="293">
        <f t="shared" si="21"/>
        <v>0.16494347436758883</v>
      </c>
      <c r="AK68" s="9"/>
    </row>
    <row r="69" spans="1:37" ht="15" customHeight="1">
      <c r="A69" s="6"/>
      <c r="B69" s="284">
        <v>2022</v>
      </c>
      <c r="C69" s="314">
        <v>0.35740761541053578</v>
      </c>
      <c r="D69" s="216">
        <v>0.39861396745952216</v>
      </c>
      <c r="E69" s="216">
        <v>0.42081197375678497</v>
      </c>
      <c r="F69" s="216">
        <v>0.43550525742548957</v>
      </c>
      <c r="G69" s="216">
        <v>0.43697748706814321</v>
      </c>
      <c r="H69" s="216">
        <v>0.4464637611343234</v>
      </c>
      <c r="I69" s="216">
        <v>0.42540764176198587</v>
      </c>
      <c r="J69" s="216">
        <v>0.4263470093919921</v>
      </c>
      <c r="K69" s="216">
        <v>0.41768395068122566</v>
      </c>
      <c r="L69" s="216">
        <v>0.40940087676570869</v>
      </c>
      <c r="M69" s="216">
        <v>0.41588044380707984</v>
      </c>
      <c r="N69" s="216">
        <v>0.41877718086467125</v>
      </c>
      <c r="O69" s="302">
        <f t="shared" ref="O69:O70" si="22">AVERAGE(C69:N69)</f>
        <v>0.41743976379395514</v>
      </c>
      <c r="P69" s="293">
        <f t="shared" ref="P69:R71" si="23">O69/O68-1</f>
        <v>0.2011050415633362</v>
      </c>
      <c r="Q69" s="109">
        <v>0.41771464653289508</v>
      </c>
      <c r="R69" s="293">
        <f t="shared" si="23"/>
        <v>0.19583681255546903</v>
      </c>
      <c r="S69" s="7"/>
      <c r="T69" s="284">
        <v>2022</v>
      </c>
      <c r="U69" s="216">
        <v>0.35740761541053578</v>
      </c>
      <c r="V69" s="216">
        <v>0.39857338057852199</v>
      </c>
      <c r="W69" s="216">
        <v>0.42066141135809482</v>
      </c>
      <c r="X69" s="216">
        <v>0.4354905343993779</v>
      </c>
      <c r="Y69" s="216">
        <v>0.43696942931449034</v>
      </c>
      <c r="Z69" s="216">
        <v>0.44645550527903471</v>
      </c>
      <c r="AA69" s="216">
        <v>0.42540764176198587</v>
      </c>
      <c r="AB69" s="216">
        <v>0.4263470093919921</v>
      </c>
      <c r="AC69" s="216">
        <v>0.41768441621885694</v>
      </c>
      <c r="AD69" s="216">
        <v>0.40940087676570869</v>
      </c>
      <c r="AE69" s="216">
        <v>0.41588044380707984</v>
      </c>
      <c r="AF69" s="216">
        <v>0.41877718086467125</v>
      </c>
      <c r="AG69" s="302">
        <f t="shared" si="17"/>
        <v>0.41742128709586246</v>
      </c>
      <c r="AH69" s="293">
        <f t="shared" si="20"/>
        <v>0.22300786070744927</v>
      </c>
      <c r="AI69" s="109">
        <v>0.41769963796243853</v>
      </c>
      <c r="AJ69" s="293">
        <f t="shared" si="20"/>
        <v>0.21842789744433011</v>
      </c>
      <c r="AK69" s="9"/>
    </row>
    <row r="70" spans="1:37" ht="15" customHeight="1">
      <c r="A70" s="6"/>
      <c r="B70" s="284">
        <v>2023</v>
      </c>
      <c r="C70" s="314">
        <v>0.42070786573909508</v>
      </c>
      <c r="D70" s="216">
        <v>0.43430357691913496</v>
      </c>
      <c r="E70" s="216">
        <v>0.43976315857920312</v>
      </c>
      <c r="F70" s="216">
        <v>0.45461613200756679</v>
      </c>
      <c r="G70" s="216">
        <v>0.45315354725817658</v>
      </c>
      <c r="H70" s="216">
        <v>0.45497382198952874</v>
      </c>
      <c r="I70" s="216">
        <v>0.45922406967537605</v>
      </c>
      <c r="J70" s="43">
        <v>0.38103303141579908</v>
      </c>
      <c r="K70" s="43">
        <v>0.37498997957159025</v>
      </c>
      <c r="L70" s="43">
        <v>0.36449965502214882</v>
      </c>
      <c r="M70" s="43">
        <v>0.3603897311079669</v>
      </c>
      <c r="N70" s="216">
        <v>0.35760517976105632</v>
      </c>
      <c r="O70" s="302">
        <f t="shared" si="22"/>
        <v>0.41293831242055351</v>
      </c>
      <c r="P70" s="293">
        <f t="shared" si="23"/>
        <v>-1.0783475279138699E-2</v>
      </c>
      <c r="Q70" s="109">
        <v>0.40869661057801471</v>
      </c>
      <c r="R70" s="293">
        <f t="shared" si="23"/>
        <v>-2.1588986715528558E-2</v>
      </c>
      <c r="S70" s="7"/>
      <c r="T70" s="284">
        <v>2023</v>
      </c>
      <c r="U70" s="216">
        <v>0.42070786573909508</v>
      </c>
      <c r="V70" s="216">
        <v>0.43430357691913496</v>
      </c>
      <c r="W70" s="216">
        <v>0.43976273266516669</v>
      </c>
      <c r="X70" s="216">
        <v>0.45461578133058272</v>
      </c>
      <c r="Y70" s="216">
        <v>0.45315354725817658</v>
      </c>
      <c r="Z70" s="216">
        <v>0.45497382198952874</v>
      </c>
      <c r="AA70" s="216">
        <v>0.45922406967537605</v>
      </c>
      <c r="AB70" s="216">
        <v>0.37726876436553858</v>
      </c>
      <c r="AC70" s="216">
        <v>0.37120536884601268</v>
      </c>
      <c r="AD70" s="216">
        <v>0.36449965502214882</v>
      </c>
      <c r="AE70" s="216">
        <v>0.3603897311079669</v>
      </c>
      <c r="AF70" s="216">
        <v>0.35760517976105632</v>
      </c>
      <c r="AG70" s="302">
        <f t="shared" si="17"/>
        <v>0.41230917455664856</v>
      </c>
      <c r="AH70" s="293">
        <f t="shared" ref="AH70" si="24">AG70/AG69-1</f>
        <v>-1.224688988618805E-2</v>
      </c>
      <c r="AI70" s="109">
        <v>0.40795872687437473</v>
      </c>
      <c r="AJ70" s="293">
        <f t="shared" si="20"/>
        <v>-2.3320372350765006E-2</v>
      </c>
      <c r="AK70" s="9"/>
    </row>
    <row r="71" spans="1:37" ht="15" customHeight="1">
      <c r="A71" s="6"/>
      <c r="B71" s="284">
        <v>2024</v>
      </c>
      <c r="C71" s="314">
        <v>0.36287250025893542</v>
      </c>
      <c r="D71" s="270">
        <v>0.39465900692082884</v>
      </c>
      <c r="E71" s="270">
        <v>0.41999083239051077</v>
      </c>
      <c r="F71" s="270">
        <v>0.42337829709881353</v>
      </c>
      <c r="G71" s="270">
        <v>0.42340349167709268</v>
      </c>
      <c r="H71" s="216">
        <v>0.39090353468473055</v>
      </c>
      <c r="I71" s="270">
        <v>0.39960037108775803</v>
      </c>
      <c r="J71" s="270">
        <v>0.40306180747584003</v>
      </c>
      <c r="K71" s="270">
        <v>0.40281262719962241</v>
      </c>
      <c r="L71" s="270">
        <v>0.3915416805832147</v>
      </c>
      <c r="M71" s="273">
        <v>0.39066329653447857</v>
      </c>
      <c r="N71" s="273">
        <v>0.3920596711152291</v>
      </c>
      <c r="O71" s="302">
        <f t="shared" ref="O71" si="25">AVERAGE(C71:N71)</f>
        <v>0.39957892641892118</v>
      </c>
      <c r="P71" s="293">
        <f>+O71/O70-1</f>
        <v>-3.2352013847595229E-2</v>
      </c>
      <c r="Q71" s="109">
        <v>0.39658372155990007</v>
      </c>
      <c r="R71" s="293">
        <f t="shared" si="23"/>
        <v>-2.9637850436252777E-2</v>
      </c>
      <c r="S71" s="7"/>
      <c r="T71" s="284">
        <v>2024</v>
      </c>
      <c r="U71" s="216">
        <v>0.36280947392626278</v>
      </c>
      <c r="V71" s="216">
        <v>0.38328773428111174</v>
      </c>
      <c r="W71" s="216">
        <v>0.40837042242523619</v>
      </c>
      <c r="X71" s="216">
        <v>0.41165310948829231</v>
      </c>
      <c r="Y71" s="216">
        <v>0.41151729151521449</v>
      </c>
      <c r="Z71" s="216">
        <v>0.39090353468473055</v>
      </c>
      <c r="AA71" s="216">
        <v>0.38220208156964297</v>
      </c>
      <c r="AB71" s="216">
        <v>0.37759706451133035</v>
      </c>
      <c r="AC71" s="216">
        <v>0.37785888077858876</v>
      </c>
      <c r="AD71" s="216">
        <v>0.36678700361010835</v>
      </c>
      <c r="AE71" s="216">
        <v>0.37719855901674088</v>
      </c>
      <c r="AF71" s="216">
        <v>0.37389075763421575</v>
      </c>
      <c r="AG71" s="302">
        <f t="shared" ref="AG71" si="26">AVERAGE(U71:AF71)</f>
        <v>0.38533965945345633</v>
      </c>
      <c r="AH71" s="293">
        <f t="shared" ref="AH71" si="27">AG71/AG70-1</f>
        <v>-6.5410902224507295E-2</v>
      </c>
      <c r="AI71" s="109">
        <v>0.38363202432610127</v>
      </c>
      <c r="AJ71" s="293">
        <f t="shared" si="20"/>
        <v>-5.9630303130553064E-2</v>
      </c>
      <c r="AK71" s="9"/>
    </row>
    <row r="72" spans="1:37" s="269" customFormat="1" ht="15" customHeight="1">
      <c r="A72" s="195"/>
      <c r="B72" s="285">
        <v>2025</v>
      </c>
      <c r="C72" s="315">
        <v>0.41508068721365682</v>
      </c>
      <c r="D72" s="273">
        <v>0.4187468631669341</v>
      </c>
      <c r="E72" s="273">
        <v>0.43485653481737274</v>
      </c>
      <c r="F72" s="273">
        <v>0.43068335515668066</v>
      </c>
      <c r="G72" s="273">
        <v>0.4296949552002336</v>
      </c>
      <c r="H72" s="216">
        <v>0.43627153065468532</v>
      </c>
      <c r="I72" s="216">
        <v>0.43656512448442081</v>
      </c>
      <c r="J72" s="216">
        <v>0.4330344879254801</v>
      </c>
      <c r="K72" s="216">
        <v>0.43432574430823118</v>
      </c>
      <c r="L72" s="216">
        <v>0.42607018510632971</v>
      </c>
      <c r="M72" s="216">
        <v>0.42316987211761153</v>
      </c>
      <c r="N72" s="216">
        <v>0.42555365398860762</v>
      </c>
      <c r="O72" s="303">
        <v>0.42911807488608505</v>
      </c>
      <c r="P72" s="294">
        <f>+O72/O71-1</f>
        <v>7.3925691557103823E-2</v>
      </c>
      <c r="Q72" s="280">
        <v>0.42913526059428814</v>
      </c>
      <c r="R72" s="294">
        <f>+Q72/Q71-1</f>
        <v>8.2079866784122268E-2</v>
      </c>
      <c r="S72" s="196"/>
      <c r="T72" s="285">
        <v>2025</v>
      </c>
      <c r="U72" s="216">
        <v>0.38612954909590297</v>
      </c>
      <c r="V72" s="216">
        <v>0.39984228958415474</v>
      </c>
      <c r="W72" s="216">
        <v>0.41659766743157245</v>
      </c>
      <c r="X72" s="216">
        <v>0.4257280635400908</v>
      </c>
      <c r="Y72" s="216">
        <v>0.42464373110695258</v>
      </c>
      <c r="Z72" s="216">
        <v>0.4361873990306947</v>
      </c>
      <c r="AA72" s="216">
        <v>0.43656512448442081</v>
      </c>
      <c r="AB72" s="216">
        <v>0.4330344879254801</v>
      </c>
      <c r="AC72" s="216">
        <v>0.43432574430823118</v>
      </c>
      <c r="AD72" s="216">
        <v>0.42607018510632971</v>
      </c>
      <c r="AE72" s="216">
        <v>0.42316987211761153</v>
      </c>
      <c r="AF72" s="216">
        <v>0.42555365398860762</v>
      </c>
      <c r="AG72" s="303">
        <v>0.42372433695680284</v>
      </c>
      <c r="AH72" s="294">
        <f>+AG72/AG71-1</f>
        <v>9.961257960779113E-2</v>
      </c>
      <c r="AI72" s="280">
        <v>0.42391497681199863</v>
      </c>
      <c r="AJ72" s="294">
        <f>+AI72/AI71-1</f>
        <v>0.10500414441849459</v>
      </c>
      <c r="AK72" s="198"/>
    </row>
    <row r="73" spans="1:37" s="269" customFormat="1" ht="15" customHeight="1" thickBot="1">
      <c r="A73" s="196"/>
      <c r="B73" s="286">
        <v>2026</v>
      </c>
      <c r="C73" s="343">
        <v>0.41702437628450273</v>
      </c>
      <c r="D73" s="344">
        <v>0.42471543029014441</v>
      </c>
      <c r="E73" s="344">
        <v>0.41705996323712052</v>
      </c>
      <c r="F73" s="344">
        <v>0.4159064210552626</v>
      </c>
      <c r="G73" s="344">
        <v>0.42644669416322956</v>
      </c>
      <c r="H73" s="344">
        <v>0.41871554164804053</v>
      </c>
      <c r="I73" s="331">
        <v>0.41441876577248637</v>
      </c>
      <c r="J73" s="331">
        <v>0.40932437279767686</v>
      </c>
      <c r="K73" s="331">
        <v>0.4098531893443475</v>
      </c>
      <c r="L73" s="295"/>
      <c r="M73" s="295"/>
      <c r="N73" s="295"/>
      <c r="O73" s="304"/>
      <c r="P73" s="296"/>
      <c r="Q73" s="295"/>
      <c r="R73" s="296"/>
      <c r="S73" s="196"/>
      <c r="T73" s="286">
        <v>2026</v>
      </c>
      <c r="U73" s="343">
        <v>0.41702437628450273</v>
      </c>
      <c r="V73" s="344">
        <v>0.42471543029014441</v>
      </c>
      <c r="W73" s="344">
        <v>0.41705996323712052</v>
      </c>
      <c r="X73" s="344">
        <v>0.4159064210552626</v>
      </c>
      <c r="Y73" s="344">
        <v>0.42644669416322956</v>
      </c>
      <c r="Z73" s="344">
        <v>0.41871554164804053</v>
      </c>
      <c r="AA73" s="331">
        <v>0.41441876577248637</v>
      </c>
      <c r="AB73" s="331">
        <v>0.40932437279767686</v>
      </c>
      <c r="AC73" s="331">
        <v>0.4098531893443475</v>
      </c>
      <c r="AD73" s="295"/>
      <c r="AE73" s="295"/>
      <c r="AF73" s="295"/>
      <c r="AG73" s="304"/>
      <c r="AH73" s="296"/>
      <c r="AI73" s="295"/>
      <c r="AJ73" s="296"/>
      <c r="AK73" s="198"/>
    </row>
    <row r="74" spans="1:37" ht="14.4" customHeight="1">
      <c r="A74" s="6"/>
      <c r="B74" s="54" t="s">
        <v>20</v>
      </c>
      <c r="C74" s="54"/>
      <c r="D74" s="54"/>
      <c r="E74" s="54"/>
      <c r="F74" s="54"/>
      <c r="G74" s="54"/>
      <c r="H74" s="54"/>
      <c r="I74" s="54"/>
      <c r="J74" s="7"/>
      <c r="K74" s="7"/>
      <c r="L74" s="53"/>
      <c r="M74" s="305"/>
      <c r="N74" s="7"/>
      <c r="O74" s="272"/>
      <c r="P74" s="272"/>
      <c r="Q74" s="64"/>
      <c r="R74" s="7"/>
      <c r="S74" s="7"/>
      <c r="T74" s="54" t="s">
        <v>20</v>
      </c>
      <c r="U74" s="54"/>
      <c r="V74" s="54"/>
      <c r="W74" s="54"/>
      <c r="X74" s="54"/>
      <c r="Y74" s="54"/>
      <c r="Z74" s="54"/>
      <c r="AA74" s="7"/>
      <c r="AB74" s="7"/>
      <c r="AC74" s="7"/>
      <c r="AD74" s="53"/>
      <c r="AE74" s="305"/>
      <c r="AF74" s="7"/>
      <c r="AG74" s="7"/>
      <c r="AH74" s="7"/>
      <c r="AI74" s="64"/>
      <c r="AJ74" s="7"/>
      <c r="AK74" s="9"/>
    </row>
    <row r="75" spans="1:37" ht="14.4" customHeight="1">
      <c r="A75" s="6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7"/>
      <c r="M75" s="53"/>
      <c r="N75" s="53"/>
      <c r="O75" s="53"/>
      <c r="P75" s="7"/>
      <c r="Q75" s="59"/>
      <c r="R75" s="7"/>
      <c r="S75" s="7"/>
      <c r="T75" s="7"/>
      <c r="U75" s="7"/>
      <c r="V75" s="7"/>
      <c r="W75" s="7"/>
      <c r="X75" s="7"/>
      <c r="Y75" s="7"/>
      <c r="Z75" s="7"/>
      <c r="AA75" s="54"/>
      <c r="AB75" s="54"/>
      <c r="AC75" s="54"/>
      <c r="AD75" s="7"/>
      <c r="AE75" s="53"/>
      <c r="AF75" s="53"/>
      <c r="AG75" s="53"/>
      <c r="AH75" s="7"/>
      <c r="AI75" s="64"/>
      <c r="AJ75" s="7"/>
      <c r="AK75" s="9"/>
    </row>
    <row r="76" spans="1:37" ht="14.4" customHeight="1">
      <c r="A76" s="6"/>
      <c r="B76" s="54"/>
      <c r="C76" s="54"/>
      <c r="D76" s="54"/>
      <c r="E76" s="54"/>
      <c r="F76" s="54"/>
      <c r="G76" s="54"/>
      <c r="H76" s="59"/>
      <c r="I76" s="59"/>
      <c r="J76" s="59"/>
      <c r="K76" s="59"/>
      <c r="L76" s="59"/>
      <c r="M76" s="59"/>
      <c r="N76" s="59"/>
      <c r="O76" s="7"/>
      <c r="P76" s="7"/>
      <c r="Q76" s="272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9"/>
    </row>
    <row r="77" spans="1:37" ht="14.4" customHeight="1">
      <c r="A77" s="6"/>
      <c r="B77" s="58" t="s">
        <v>21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7"/>
      <c r="P77" s="7"/>
      <c r="Q77" s="18"/>
      <c r="R77" s="7"/>
      <c r="S77" s="7"/>
      <c r="T77" s="57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9"/>
    </row>
    <row r="78" spans="1:37" ht="15.75" customHeight="1">
      <c r="A78" s="49"/>
      <c r="B78" s="60"/>
      <c r="C78" s="61" t="s">
        <v>22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9"/>
    </row>
    <row r="79" spans="1:37" ht="15.75" customHeight="1">
      <c r="A79" s="49"/>
      <c r="B79" s="62"/>
      <c r="C79" s="63" t="s">
        <v>23</v>
      </c>
      <c r="D79" s="56"/>
      <c r="E79" s="56"/>
      <c r="F79" s="56"/>
      <c r="G79" s="56"/>
      <c r="H79" s="56"/>
      <c r="I79" s="56"/>
      <c r="J79" s="56"/>
      <c r="K79" s="7"/>
      <c r="L79" s="7"/>
      <c r="M79" s="7"/>
      <c r="N79" s="7"/>
      <c r="O79" s="7"/>
      <c r="P79" s="7"/>
      <c r="Q79" s="64"/>
      <c r="R79" s="7"/>
      <c r="S79" s="7"/>
      <c r="T79" s="57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77"/>
    </row>
    <row r="80" spans="1:37" ht="15.75" customHeight="1">
      <c r="A80" s="49"/>
      <c r="B80" s="66"/>
      <c r="C80" s="61" t="s">
        <v>24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65"/>
      <c r="Q80" s="7"/>
      <c r="R80" s="7"/>
      <c r="S80" s="7"/>
      <c r="T80" s="8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9"/>
    </row>
    <row r="81" spans="1:37" ht="19.5" customHeight="1">
      <c r="A81" s="68"/>
      <c r="B81" s="364"/>
      <c r="C81" s="365"/>
      <c r="D81" s="365"/>
      <c r="E81" s="365"/>
      <c r="F81" s="366"/>
      <c r="G81" s="366"/>
      <c r="H81" s="366"/>
      <c r="I81" s="366"/>
      <c r="J81" s="366"/>
      <c r="K81" s="365"/>
      <c r="L81" s="365"/>
      <c r="M81" s="365"/>
      <c r="N81" s="365"/>
      <c r="O81" s="365"/>
      <c r="P81" s="365"/>
      <c r="Q81" s="365"/>
      <c r="R81" s="365"/>
      <c r="S81" s="7"/>
      <c r="T81" s="57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77"/>
    </row>
    <row r="82" spans="1:37" ht="15" customHeight="1">
      <c r="A82" s="6"/>
      <c r="B82" s="11"/>
      <c r="C82" s="7"/>
      <c r="D82" s="7"/>
      <c r="E82" s="69"/>
      <c r="F82" s="358" t="s">
        <v>26</v>
      </c>
      <c r="G82" s="359"/>
      <c r="H82" s="359"/>
      <c r="I82" s="359"/>
      <c r="J82" s="360"/>
      <c r="K82" s="70"/>
      <c r="L82" s="7"/>
      <c r="M82" s="7"/>
      <c r="N82" s="7"/>
      <c r="O82" s="7"/>
      <c r="P82" s="7"/>
      <c r="Q82" s="7"/>
      <c r="R82" s="7"/>
      <c r="S82" s="7"/>
      <c r="T82" s="8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9"/>
    </row>
    <row r="83" spans="1:37" ht="15" customHeight="1">
      <c r="A83" s="6"/>
      <c r="B83" s="13"/>
      <c r="C83" s="13"/>
      <c r="D83" s="13"/>
      <c r="E83" s="13"/>
      <c r="F83" s="20"/>
      <c r="G83" s="20"/>
      <c r="H83" s="20"/>
      <c r="I83" s="20"/>
      <c r="J83" s="20"/>
      <c r="K83" s="13"/>
      <c r="L83" s="13"/>
      <c r="M83" s="13"/>
      <c r="N83" s="13"/>
      <c r="O83" s="13"/>
      <c r="P83" s="13"/>
      <c r="Q83" s="7"/>
      <c r="R83" s="7"/>
      <c r="S83" s="7"/>
      <c r="T83" s="8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9"/>
    </row>
    <row r="84" spans="1:37" ht="28.5" customHeight="1">
      <c r="A84" s="22"/>
      <c r="B84" s="78" t="s">
        <v>4</v>
      </c>
      <c r="C84" s="23" t="s">
        <v>5</v>
      </c>
      <c r="D84" s="24" t="s">
        <v>6</v>
      </c>
      <c r="E84" s="24" t="s">
        <v>7</v>
      </c>
      <c r="F84" s="24" t="s">
        <v>8</v>
      </c>
      <c r="G84" s="24" t="s">
        <v>9</v>
      </c>
      <c r="H84" s="24" t="s">
        <v>10</v>
      </c>
      <c r="I84" s="24" t="s">
        <v>11</v>
      </c>
      <c r="J84" s="24" t="s">
        <v>12</v>
      </c>
      <c r="K84" s="24" t="s">
        <v>13</v>
      </c>
      <c r="L84" s="24" t="s">
        <v>14</v>
      </c>
      <c r="M84" s="24" t="s">
        <v>15</v>
      </c>
      <c r="N84" s="25" t="s">
        <v>16</v>
      </c>
      <c r="O84" s="23" t="s">
        <v>27</v>
      </c>
      <c r="P84" s="25" t="s">
        <v>18</v>
      </c>
      <c r="Q84" s="79"/>
      <c r="R84" s="7"/>
      <c r="S84" s="7"/>
      <c r="T84" s="8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9"/>
    </row>
    <row r="85" spans="1:37" ht="14.4" customHeight="1">
      <c r="A85" s="22"/>
      <c r="B85" s="29">
        <v>2002</v>
      </c>
      <c r="C85" s="30">
        <v>14.335000000000001</v>
      </c>
      <c r="D85" s="31">
        <v>14.643000000000001</v>
      </c>
      <c r="E85" s="31">
        <v>15.22</v>
      </c>
      <c r="F85" s="31">
        <v>16.367999999999999</v>
      </c>
      <c r="G85" s="31">
        <v>17.045999999999999</v>
      </c>
      <c r="H85" s="31">
        <v>17.812000000000001</v>
      </c>
      <c r="I85" s="31">
        <v>22.634</v>
      </c>
      <c r="J85" s="31">
        <v>26.692</v>
      </c>
      <c r="K85" s="31">
        <v>28.957999999999998</v>
      </c>
      <c r="L85" s="31">
        <v>27.009</v>
      </c>
      <c r="M85" s="31">
        <v>27.186</v>
      </c>
      <c r="N85" s="32">
        <v>27.25</v>
      </c>
      <c r="O85" s="33">
        <f t="shared" ref="O85:O105" si="28">AVERAGE(C85:N85)</f>
        <v>21.26275</v>
      </c>
      <c r="P85" s="34"/>
      <c r="Q85" s="79"/>
      <c r="R85" s="7"/>
      <c r="S85" s="7"/>
      <c r="T85" s="8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9"/>
    </row>
    <row r="86" spans="1:37" ht="14.4" customHeight="1">
      <c r="A86" s="22"/>
      <c r="B86" s="36">
        <v>2003</v>
      </c>
      <c r="C86" s="37">
        <v>27.817</v>
      </c>
      <c r="D86" s="38">
        <v>28.5</v>
      </c>
      <c r="E86" s="38">
        <v>28.734000000000002</v>
      </c>
      <c r="F86" s="38">
        <v>28.762</v>
      </c>
      <c r="G86" s="38">
        <v>29.161999999999999</v>
      </c>
      <c r="H86" s="38">
        <v>26.713000000000001</v>
      </c>
      <c r="I86" s="38">
        <v>26.925000000000001</v>
      </c>
      <c r="J86" s="38">
        <v>27.805</v>
      </c>
      <c r="K86" s="38">
        <v>27.859000000000002</v>
      </c>
      <c r="L86" s="38">
        <v>28.257000000000001</v>
      </c>
      <c r="M86" s="38">
        <v>28.885000000000002</v>
      </c>
      <c r="N86" s="39">
        <v>29.238</v>
      </c>
      <c r="O86" s="40">
        <f t="shared" si="28"/>
        <v>28.221416666666666</v>
      </c>
      <c r="P86" s="41">
        <f t="shared" ref="P86:P95" si="29">(O86/O85)-1</f>
        <v>0.3272703044839762</v>
      </c>
      <c r="Q86" s="79"/>
      <c r="R86" s="7"/>
      <c r="S86" s="7"/>
      <c r="T86" s="8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9"/>
    </row>
    <row r="87" spans="1:37" ht="14.4" customHeight="1">
      <c r="A87" s="22"/>
      <c r="B87" s="36">
        <v>2004</v>
      </c>
      <c r="C87" s="37">
        <v>29.414999999999999</v>
      </c>
      <c r="D87" s="38">
        <v>29.515000000000001</v>
      </c>
      <c r="E87" s="38">
        <v>29.606000000000002</v>
      </c>
      <c r="F87" s="38">
        <v>29.65</v>
      </c>
      <c r="G87" s="38">
        <v>29.760999999999999</v>
      </c>
      <c r="H87" s="38">
        <v>29.74</v>
      </c>
      <c r="I87" s="38">
        <v>29.462</v>
      </c>
      <c r="J87" s="38">
        <v>28.873999999999999</v>
      </c>
      <c r="K87" s="38">
        <v>27.94</v>
      </c>
      <c r="L87" s="38">
        <v>27.164999999999999</v>
      </c>
      <c r="M87" s="38">
        <v>26.645</v>
      </c>
      <c r="N87" s="39">
        <v>26.564</v>
      </c>
      <c r="O87" s="40">
        <f t="shared" si="28"/>
        <v>28.694750000000003</v>
      </c>
      <c r="P87" s="41">
        <f t="shared" si="29"/>
        <v>1.6772132275429286E-2</v>
      </c>
      <c r="Q87" s="79"/>
      <c r="R87" s="7"/>
      <c r="S87" s="7"/>
      <c r="T87" s="8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9"/>
    </row>
    <row r="88" spans="1:37" ht="14.4" customHeight="1">
      <c r="A88" s="22"/>
      <c r="B88" s="36">
        <v>2005</v>
      </c>
      <c r="C88" s="37">
        <v>25.524999999999999</v>
      </c>
      <c r="D88" s="38">
        <v>24.928000000000001</v>
      </c>
      <c r="E88" s="38">
        <v>25.521000000000001</v>
      </c>
      <c r="F88" s="38">
        <v>25.21</v>
      </c>
      <c r="G88" s="38">
        <v>24.481000000000002</v>
      </c>
      <c r="H88" s="38">
        <v>24.25</v>
      </c>
      <c r="I88" s="38">
        <v>24.61</v>
      </c>
      <c r="J88" s="38">
        <v>24.341999999999999</v>
      </c>
      <c r="K88" s="38">
        <v>24.09</v>
      </c>
      <c r="L88" s="38">
        <v>23.591999999999999</v>
      </c>
      <c r="M88" s="38">
        <v>23.521000000000001</v>
      </c>
      <c r="N88" s="39">
        <v>23.651</v>
      </c>
      <c r="O88" s="40">
        <f t="shared" si="28"/>
        <v>24.476749999999999</v>
      </c>
      <c r="P88" s="41">
        <f t="shared" si="29"/>
        <v>-0.14699553054130121</v>
      </c>
      <c r="Q88" s="79"/>
      <c r="R88" s="7"/>
      <c r="S88" s="7"/>
      <c r="T88" s="8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9"/>
    </row>
    <row r="89" spans="1:37" ht="14.4" customHeight="1">
      <c r="A89" s="22"/>
      <c r="B89" s="36">
        <v>2006</v>
      </c>
      <c r="C89" s="37">
        <v>24.184999999999999</v>
      </c>
      <c r="D89" s="38">
        <v>24.23</v>
      </c>
      <c r="E89" s="38">
        <v>24.27</v>
      </c>
      <c r="F89" s="38">
        <v>24.097000000000001</v>
      </c>
      <c r="G89" s="38">
        <v>23.956</v>
      </c>
      <c r="H89" s="38">
        <v>23.881</v>
      </c>
      <c r="I89" s="38">
        <v>23.952000000000002</v>
      </c>
      <c r="J89" s="38">
        <v>23.933</v>
      </c>
      <c r="K89" s="38">
        <v>23.975000000000001</v>
      </c>
      <c r="L89" s="38">
        <v>23.856000000000002</v>
      </c>
      <c r="M89" s="38">
        <v>24.099</v>
      </c>
      <c r="N89" s="39">
        <v>24.449000000000002</v>
      </c>
      <c r="O89" s="40">
        <f t="shared" si="28"/>
        <v>24.073583333333335</v>
      </c>
      <c r="P89" s="41">
        <f t="shared" si="29"/>
        <v>-1.6471413348041031E-2</v>
      </c>
      <c r="Q89" s="79"/>
      <c r="R89" s="7"/>
      <c r="S89" s="7"/>
      <c r="T89" s="8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9"/>
    </row>
    <row r="90" spans="1:37" ht="14.4" customHeight="1">
      <c r="A90" s="22"/>
      <c r="B90" s="36">
        <v>2007</v>
      </c>
      <c r="C90" s="37">
        <v>24.422999999999998</v>
      </c>
      <c r="D90" s="38">
        <v>24.300999999999998</v>
      </c>
      <c r="E90" s="38">
        <v>24.29</v>
      </c>
      <c r="F90" s="38">
        <v>24.085000000000001</v>
      </c>
      <c r="G90" s="38">
        <v>23.992000000000001</v>
      </c>
      <c r="H90" s="38">
        <v>23.908000000000001</v>
      </c>
      <c r="I90" s="38">
        <v>23.797999999999998</v>
      </c>
      <c r="J90" s="38">
        <v>23.628</v>
      </c>
      <c r="K90" s="38">
        <v>23.24</v>
      </c>
      <c r="L90" s="38">
        <v>22.27</v>
      </c>
      <c r="M90" s="38">
        <v>21.975000000000001</v>
      </c>
      <c r="N90" s="39">
        <v>21.692</v>
      </c>
      <c r="O90" s="40">
        <f t="shared" si="28"/>
        <v>23.466833333333337</v>
      </c>
      <c r="P90" s="41">
        <f t="shared" si="29"/>
        <v>-2.5203975311804405E-2</v>
      </c>
      <c r="Q90" s="79"/>
      <c r="R90" s="7"/>
      <c r="S90" s="7"/>
      <c r="T90" s="8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9"/>
    </row>
    <row r="91" spans="1:37" ht="14.4" customHeight="1">
      <c r="A91" s="22"/>
      <c r="B91" s="36">
        <v>2008</v>
      </c>
      <c r="C91" s="37">
        <v>21.2</v>
      </c>
      <c r="D91" s="38">
        <v>20.937000000000001</v>
      </c>
      <c r="E91" s="38">
        <v>20.626000000000001</v>
      </c>
      <c r="F91" s="38">
        <v>19.933</v>
      </c>
      <c r="G91" s="38">
        <v>19.873999999999999</v>
      </c>
      <c r="H91" s="38">
        <v>19.494</v>
      </c>
      <c r="I91" s="38">
        <v>19.251999999999999</v>
      </c>
      <c r="J91" s="38">
        <v>19.216999999999999</v>
      </c>
      <c r="K91" s="38">
        <v>20.423999999999999</v>
      </c>
      <c r="L91" s="38">
        <v>22.373000000000001</v>
      </c>
      <c r="M91" s="38">
        <v>23.687000000000001</v>
      </c>
      <c r="N91" s="39">
        <v>24.353000000000002</v>
      </c>
      <c r="O91" s="40">
        <f t="shared" si="28"/>
        <v>20.947500000000002</v>
      </c>
      <c r="P91" s="41">
        <f t="shared" si="29"/>
        <v>-0.10735719206539729</v>
      </c>
      <c r="Q91" s="79"/>
      <c r="R91" s="7"/>
      <c r="S91" s="7"/>
      <c r="T91" s="8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9"/>
    </row>
    <row r="92" spans="1:37" ht="14.4" customHeight="1">
      <c r="A92" s="22"/>
      <c r="B92" s="36">
        <v>2009</v>
      </c>
      <c r="C92" s="37">
        <v>23.29</v>
      </c>
      <c r="D92" s="38">
        <v>23.25</v>
      </c>
      <c r="E92" s="38">
        <v>23.98</v>
      </c>
      <c r="F92" s="38">
        <v>24.035</v>
      </c>
      <c r="G92" s="38">
        <v>23.695</v>
      </c>
      <c r="H92" s="38">
        <v>23.390999999999998</v>
      </c>
      <c r="I92" s="38">
        <v>23.395</v>
      </c>
      <c r="J92" s="38">
        <v>22.852</v>
      </c>
      <c r="K92" s="38">
        <v>21.942</v>
      </c>
      <c r="L92" s="38">
        <v>20.82</v>
      </c>
      <c r="M92" s="38">
        <v>20.460999999999999</v>
      </c>
      <c r="N92" s="39">
        <v>19.702999999999999</v>
      </c>
      <c r="O92" s="40">
        <f t="shared" si="28"/>
        <v>22.567833333333329</v>
      </c>
      <c r="P92" s="41">
        <f t="shared" si="29"/>
        <v>7.7352110434816934E-2</v>
      </c>
      <c r="Q92" s="79"/>
      <c r="R92" s="7"/>
      <c r="S92" s="7"/>
      <c r="T92" s="8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9"/>
    </row>
    <row r="93" spans="1:37" ht="14.4" customHeight="1">
      <c r="A93" s="22"/>
      <c r="B93" s="36">
        <v>2010</v>
      </c>
      <c r="C93" s="37">
        <v>19.585000000000001</v>
      </c>
      <c r="D93" s="38">
        <v>19.765999999999998</v>
      </c>
      <c r="E93" s="38">
        <v>19.609000000000002</v>
      </c>
      <c r="F93" s="38">
        <v>19.350000000000001</v>
      </c>
      <c r="G93" s="38">
        <v>19.262</v>
      </c>
      <c r="H93" s="38">
        <v>20.454999999999998</v>
      </c>
      <c r="I93" s="38">
        <v>21.091999999999999</v>
      </c>
      <c r="J93" s="38">
        <v>20.859000000000002</v>
      </c>
      <c r="K93" s="38">
        <v>20.56</v>
      </c>
      <c r="L93" s="38">
        <v>20.215</v>
      </c>
      <c r="M93" s="38">
        <v>19.963000000000001</v>
      </c>
      <c r="N93" s="39">
        <v>19.975000000000001</v>
      </c>
      <c r="O93" s="40">
        <f t="shared" si="28"/>
        <v>20.057583333333334</v>
      </c>
      <c r="P93" s="41">
        <f t="shared" si="29"/>
        <v>-0.11123132482072551</v>
      </c>
      <c r="Q93" s="79"/>
      <c r="R93" s="7"/>
      <c r="S93" s="7"/>
      <c r="T93" s="8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9"/>
    </row>
    <row r="94" spans="1:37" ht="14.4" customHeight="1">
      <c r="A94" s="22"/>
      <c r="B94" s="36">
        <v>2011</v>
      </c>
      <c r="C94" s="37">
        <v>19.861999999999998</v>
      </c>
      <c r="D94" s="38">
        <v>19.584</v>
      </c>
      <c r="E94" s="38">
        <v>19.334</v>
      </c>
      <c r="F94" s="38">
        <v>19.001999999999999</v>
      </c>
      <c r="G94" s="38">
        <v>18.853000000000002</v>
      </c>
      <c r="H94" s="38">
        <v>18.53</v>
      </c>
      <c r="I94" s="38">
        <v>18.457000000000001</v>
      </c>
      <c r="J94" s="38">
        <v>18.763999999999999</v>
      </c>
      <c r="K94" s="38">
        <v>19.573</v>
      </c>
      <c r="L94" s="38">
        <v>19.93</v>
      </c>
      <c r="M94" s="38">
        <v>19.901</v>
      </c>
      <c r="N94" s="39">
        <v>19.97</v>
      </c>
      <c r="O94" s="40">
        <f t="shared" si="28"/>
        <v>19.313333333333336</v>
      </c>
      <c r="P94" s="41">
        <f t="shared" si="29"/>
        <v>-3.7105666601576215E-2</v>
      </c>
      <c r="Q94" s="79"/>
      <c r="R94" s="7"/>
      <c r="S94" s="7"/>
      <c r="T94" s="8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9"/>
    </row>
    <row r="95" spans="1:37" ht="14.4" customHeight="1">
      <c r="A95" s="22"/>
      <c r="B95" s="36">
        <v>2012</v>
      </c>
      <c r="C95" s="37">
        <v>19.625</v>
      </c>
      <c r="D95" s="38">
        <v>19.436</v>
      </c>
      <c r="E95" s="38">
        <v>19.527999999999999</v>
      </c>
      <c r="F95" s="38">
        <v>19.681000000000001</v>
      </c>
      <c r="G95" s="38">
        <v>20.228000000000002</v>
      </c>
      <c r="H95" s="38">
        <v>21.687999999999999</v>
      </c>
      <c r="I95" s="38">
        <v>21.795999999999999</v>
      </c>
      <c r="J95" s="38">
        <v>21.31</v>
      </c>
      <c r="K95" s="38">
        <v>21.218</v>
      </c>
      <c r="L95" s="38">
        <v>20.134</v>
      </c>
      <c r="M95" s="38">
        <v>19.773</v>
      </c>
      <c r="N95" s="39">
        <v>19.303999999999998</v>
      </c>
      <c r="O95" s="40">
        <f t="shared" si="28"/>
        <v>20.310083333333335</v>
      </c>
      <c r="P95" s="41">
        <f t="shared" si="29"/>
        <v>5.1609423541594701E-2</v>
      </c>
      <c r="Q95" s="79"/>
      <c r="R95" s="7"/>
      <c r="S95" s="7"/>
      <c r="T95" s="8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9"/>
    </row>
    <row r="96" spans="1:37" ht="14.4" customHeight="1">
      <c r="A96" s="22"/>
      <c r="B96" s="36">
        <v>2013</v>
      </c>
      <c r="C96" s="37">
        <v>19.327999999999999</v>
      </c>
      <c r="D96" s="38">
        <v>19.113</v>
      </c>
      <c r="E96" s="38">
        <v>19</v>
      </c>
      <c r="F96" s="38">
        <v>18.986999999999998</v>
      </c>
      <c r="G96" s="38">
        <v>19.257000000000001</v>
      </c>
      <c r="H96" s="38">
        <v>20.675000000000001</v>
      </c>
      <c r="I96" s="38">
        <v>21.073</v>
      </c>
      <c r="J96" s="38">
        <v>21.885000000000002</v>
      </c>
      <c r="K96" s="38">
        <v>22.145</v>
      </c>
      <c r="L96" s="38">
        <v>21.64</v>
      </c>
      <c r="M96" s="38">
        <v>21.347999999999999</v>
      </c>
      <c r="N96" s="39">
        <v>21.363</v>
      </c>
      <c r="O96" s="40">
        <f t="shared" si="28"/>
        <v>20.484500000000001</v>
      </c>
      <c r="P96" s="41">
        <f t="shared" ref="P96:P105" si="30">O96/O95-1</f>
        <v>8.5876883813869043E-3</v>
      </c>
      <c r="Q96" s="79"/>
      <c r="R96" s="7"/>
      <c r="S96" s="7"/>
      <c r="T96" s="8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9"/>
    </row>
    <row r="97" spans="1:37" ht="14.4" customHeight="1">
      <c r="A97" s="22"/>
      <c r="B97" s="36">
        <v>2014</v>
      </c>
      <c r="C97" s="37">
        <v>21.655999999999999</v>
      </c>
      <c r="D97" s="38">
        <v>22.373999999999999</v>
      </c>
      <c r="E97" s="38">
        <v>22.635000000000002</v>
      </c>
      <c r="F97" s="38">
        <v>22.853000000000002</v>
      </c>
      <c r="G97" s="38">
        <v>23.021999999999998</v>
      </c>
      <c r="H97" s="38">
        <v>22.956</v>
      </c>
      <c r="I97" s="38">
        <v>23.003</v>
      </c>
      <c r="J97" s="38">
        <v>23.72</v>
      </c>
      <c r="K97" s="38">
        <v>24.318999999999999</v>
      </c>
      <c r="L97" s="38">
        <v>24.315999999999999</v>
      </c>
      <c r="M97" s="38">
        <v>23.992999999999999</v>
      </c>
      <c r="N97" s="39">
        <v>24.106999999999999</v>
      </c>
      <c r="O97" s="40">
        <f t="shared" si="28"/>
        <v>23.246166666666664</v>
      </c>
      <c r="P97" s="41">
        <f t="shared" si="30"/>
        <v>0.13481738224836648</v>
      </c>
      <c r="Q97" s="79"/>
      <c r="R97" s="7"/>
      <c r="S97" s="7"/>
      <c r="T97" s="8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9"/>
    </row>
    <row r="98" spans="1:37" ht="14.4" customHeight="1">
      <c r="A98" s="22"/>
      <c r="B98" s="36">
        <v>2015</v>
      </c>
      <c r="C98" s="37">
        <v>24.47</v>
      </c>
      <c r="D98" s="38">
        <v>24.574000000000002</v>
      </c>
      <c r="E98" s="38">
        <v>25.286000000000001</v>
      </c>
      <c r="F98" s="38">
        <v>26.350999999999999</v>
      </c>
      <c r="G98" s="38">
        <v>26.664999999999999</v>
      </c>
      <c r="H98" s="38">
        <v>26.847999999999999</v>
      </c>
      <c r="I98" s="38">
        <v>27.734999999999999</v>
      </c>
      <c r="J98" s="38">
        <v>28.506</v>
      </c>
      <c r="K98" s="38">
        <v>28.84</v>
      </c>
      <c r="L98" s="38">
        <v>29.338999999999999</v>
      </c>
      <c r="M98" s="38">
        <v>29.53</v>
      </c>
      <c r="N98" s="39">
        <v>29.78</v>
      </c>
      <c r="O98" s="40">
        <f t="shared" si="28"/>
        <v>27.326999999999998</v>
      </c>
      <c r="P98" s="41">
        <f t="shared" si="30"/>
        <v>0.17554865676778264</v>
      </c>
      <c r="Q98" s="79"/>
      <c r="R98" s="7"/>
      <c r="S98" s="7"/>
      <c r="T98" s="8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9"/>
    </row>
    <row r="99" spans="1:37" ht="14.4" customHeight="1">
      <c r="A99" s="22"/>
      <c r="B99" s="36">
        <v>2016</v>
      </c>
      <c r="C99" s="37">
        <v>30.818000000000001</v>
      </c>
      <c r="D99" s="38">
        <v>31.751999999999999</v>
      </c>
      <c r="E99" s="38">
        <v>32.162999999999997</v>
      </c>
      <c r="F99" s="38">
        <v>31.515000000000001</v>
      </c>
      <c r="G99" s="38">
        <v>31.41</v>
      </c>
      <c r="H99" s="38">
        <v>30.777999999999999</v>
      </c>
      <c r="I99" s="38">
        <v>30.036999999999999</v>
      </c>
      <c r="J99" s="38">
        <v>28.890999999999998</v>
      </c>
      <c r="K99" s="38">
        <v>28.78</v>
      </c>
      <c r="L99" s="38">
        <v>28.151</v>
      </c>
      <c r="M99" s="38">
        <v>28.731999999999999</v>
      </c>
      <c r="N99" s="39">
        <v>28.84</v>
      </c>
      <c r="O99" s="40">
        <f t="shared" si="28"/>
        <v>30.155583333333336</v>
      </c>
      <c r="P99" s="41">
        <f t="shared" si="30"/>
        <v>0.10350873982996078</v>
      </c>
      <c r="Q99" s="79"/>
      <c r="R99" s="7"/>
      <c r="S99" s="7"/>
      <c r="T99" s="8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9"/>
    </row>
    <row r="100" spans="1:37" ht="14.4" customHeight="1">
      <c r="A100" s="22"/>
      <c r="B100" s="200">
        <v>2017</v>
      </c>
      <c r="C100" s="37">
        <v>28.611000000000001</v>
      </c>
      <c r="D100" s="38">
        <v>28.462</v>
      </c>
      <c r="E100" s="38">
        <v>28.416</v>
      </c>
      <c r="F100" s="38">
        <v>28.402999999999999</v>
      </c>
      <c r="G100" s="38">
        <v>28.131</v>
      </c>
      <c r="H100" s="38">
        <v>28.38</v>
      </c>
      <c r="I100" s="38">
        <v>28.640999999999998</v>
      </c>
      <c r="J100" s="38">
        <v>28.673999999999999</v>
      </c>
      <c r="K100" s="38">
        <v>28.911000000000001</v>
      </c>
      <c r="L100" s="38">
        <v>29.349</v>
      </c>
      <c r="M100" s="38">
        <v>29.231000000000002</v>
      </c>
      <c r="N100" s="39">
        <v>28.88</v>
      </c>
      <c r="O100" s="40">
        <f t="shared" si="28"/>
        <v>28.674083333333332</v>
      </c>
      <c r="P100" s="41">
        <f t="shared" si="30"/>
        <v>-4.9128547228678099E-2</v>
      </c>
      <c r="Q100" s="79"/>
      <c r="R100" s="7"/>
      <c r="S100" s="7"/>
      <c r="T100" s="8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9"/>
    </row>
    <row r="101" spans="1:37" ht="14.4" customHeight="1">
      <c r="A101" s="22"/>
      <c r="B101" s="200">
        <v>2018</v>
      </c>
      <c r="C101" s="37">
        <v>28.529</v>
      </c>
      <c r="D101" s="38">
        <v>28.52</v>
      </c>
      <c r="E101" s="38">
        <v>28.391999999999999</v>
      </c>
      <c r="F101" s="38">
        <v>28.317</v>
      </c>
      <c r="G101" s="38">
        <v>30.562000000000001</v>
      </c>
      <c r="H101" s="38">
        <v>31.366</v>
      </c>
      <c r="I101" s="38">
        <v>31.15</v>
      </c>
      <c r="J101" s="38">
        <v>31.326000000000001</v>
      </c>
      <c r="K101" s="38">
        <v>32.866</v>
      </c>
      <c r="L101" s="38">
        <v>32.886000000000003</v>
      </c>
      <c r="M101" s="38">
        <v>32.536999999999999</v>
      </c>
      <c r="N101" s="39">
        <v>32.213999999999999</v>
      </c>
      <c r="O101" s="40">
        <f t="shared" si="28"/>
        <v>30.722083333333334</v>
      </c>
      <c r="P101" s="41">
        <f t="shared" si="30"/>
        <v>7.1423381741351877E-2</v>
      </c>
      <c r="Q101" s="79"/>
      <c r="R101" s="7"/>
      <c r="S101" s="7"/>
      <c r="T101" s="8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9"/>
    </row>
    <row r="102" spans="1:37" ht="14.4" customHeight="1">
      <c r="A102" s="22"/>
      <c r="B102" s="200">
        <v>2019</v>
      </c>
      <c r="C102" s="37">
        <v>32.597999999999999</v>
      </c>
      <c r="D102" s="38">
        <v>32.61</v>
      </c>
      <c r="E102" s="38">
        <v>33.313000000000002</v>
      </c>
      <c r="F102" s="38">
        <v>34.136000000000003</v>
      </c>
      <c r="G102" s="38">
        <v>35.162999999999997</v>
      </c>
      <c r="H102" s="38">
        <v>35.25</v>
      </c>
      <c r="I102" s="38">
        <v>34.823</v>
      </c>
      <c r="J102" s="38">
        <v>35.954000000000001</v>
      </c>
      <c r="K102" s="38">
        <v>36.691000000000003</v>
      </c>
      <c r="L102" s="38">
        <v>37.301000000000002</v>
      </c>
      <c r="M102" s="38">
        <v>37.639000000000003</v>
      </c>
      <c r="N102" s="39">
        <v>37.585000000000001</v>
      </c>
      <c r="O102" s="40">
        <f t="shared" si="28"/>
        <v>35.255249999999997</v>
      </c>
      <c r="P102" s="41">
        <f t="shared" si="30"/>
        <v>0.1475540124503274</v>
      </c>
      <c r="Q102" s="79"/>
      <c r="R102" s="7"/>
      <c r="S102" s="7"/>
      <c r="T102" s="8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9"/>
    </row>
    <row r="103" spans="1:37" ht="14.4" customHeight="1">
      <c r="A103" s="22"/>
      <c r="B103" s="200">
        <v>2020</v>
      </c>
      <c r="C103" s="37">
        <v>37.591999999999999</v>
      </c>
      <c r="D103" s="38">
        <v>38.043999999999997</v>
      </c>
      <c r="E103" s="38">
        <v>43.343000000000004</v>
      </c>
      <c r="F103" s="38">
        <v>43.390999999999998</v>
      </c>
      <c r="G103" s="38">
        <v>43.43</v>
      </c>
      <c r="H103" s="38">
        <v>42.576000000000001</v>
      </c>
      <c r="I103" s="38">
        <v>42.576000000000001</v>
      </c>
      <c r="J103" s="38">
        <v>42.667000000000002</v>
      </c>
      <c r="K103" s="38">
        <v>42.491</v>
      </c>
      <c r="L103" s="38">
        <v>42.686999999999998</v>
      </c>
      <c r="M103" s="38">
        <v>42.73</v>
      </c>
      <c r="N103" s="39">
        <v>42.396000000000001</v>
      </c>
      <c r="O103" s="40">
        <f t="shared" si="28"/>
        <v>41.993583333333341</v>
      </c>
      <c r="P103" s="41">
        <f t="shared" si="30"/>
        <v>0.19112992627575598</v>
      </c>
      <c r="Q103" s="79"/>
      <c r="R103" s="7"/>
      <c r="S103" s="7"/>
      <c r="T103" s="8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9"/>
    </row>
    <row r="104" spans="1:37" ht="14.4" customHeight="1">
      <c r="A104" s="22"/>
      <c r="B104" s="200">
        <v>2021</v>
      </c>
      <c r="C104" s="37">
        <v>42.29</v>
      </c>
      <c r="D104" s="38">
        <v>42.73</v>
      </c>
      <c r="E104" s="38">
        <v>44.264000000000003</v>
      </c>
      <c r="F104" s="38">
        <v>44.09</v>
      </c>
      <c r="G104" s="38">
        <v>43.984999999999999</v>
      </c>
      <c r="H104" s="38">
        <v>43.6</v>
      </c>
      <c r="I104" s="38">
        <v>43.832999999999998</v>
      </c>
      <c r="J104" s="38">
        <v>43.22</v>
      </c>
      <c r="K104" s="38">
        <v>42.695</v>
      </c>
      <c r="L104" s="38">
        <v>43.616</v>
      </c>
      <c r="M104" s="38">
        <v>43.99</v>
      </c>
      <c r="N104" s="39">
        <v>44.325000000000003</v>
      </c>
      <c r="O104" s="40">
        <f t="shared" si="28"/>
        <v>43.553166666666669</v>
      </c>
      <c r="P104" s="41">
        <f t="shared" si="30"/>
        <v>3.7138610462312593E-2</v>
      </c>
      <c r="Q104" s="79"/>
      <c r="R104" s="7"/>
      <c r="S104" s="7"/>
      <c r="T104" s="8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9"/>
    </row>
    <row r="105" spans="1:37" ht="14.4" customHeight="1">
      <c r="A105" s="22"/>
      <c r="B105" s="200">
        <v>2022</v>
      </c>
      <c r="C105" s="37">
        <v>44.515000000000001</v>
      </c>
      <c r="D105" s="38">
        <v>43.179000000000002</v>
      </c>
      <c r="E105" s="38">
        <v>42.243000000000002</v>
      </c>
      <c r="F105" s="38">
        <v>41.149000000000001</v>
      </c>
      <c r="G105" s="38">
        <v>40.758000000000003</v>
      </c>
      <c r="H105" s="38">
        <v>39.78</v>
      </c>
      <c r="I105" s="38">
        <v>41.09</v>
      </c>
      <c r="J105" s="38">
        <v>40.46</v>
      </c>
      <c r="K105" s="38">
        <v>40.94</v>
      </c>
      <c r="L105" s="38">
        <v>41.06</v>
      </c>
      <c r="M105" s="38">
        <v>39.747</v>
      </c>
      <c r="N105" s="39">
        <v>39.090000000000003</v>
      </c>
      <c r="O105" s="40">
        <f t="shared" si="28"/>
        <v>41.16758333333334</v>
      </c>
      <c r="P105" s="41">
        <f t="shared" si="30"/>
        <v>-5.4774050107339933E-2</v>
      </c>
      <c r="Q105" s="79"/>
      <c r="R105" s="7"/>
      <c r="S105" s="7"/>
      <c r="T105" s="8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9"/>
    </row>
    <row r="106" spans="1:37" ht="14.4" customHeight="1">
      <c r="A106" s="22"/>
      <c r="B106" s="200">
        <v>2023</v>
      </c>
      <c r="C106" s="37">
        <v>39.386000000000003</v>
      </c>
      <c r="D106" s="38">
        <v>39.027999999999999</v>
      </c>
      <c r="E106" s="38">
        <v>39.112000000000002</v>
      </c>
      <c r="F106" s="38">
        <v>38.78</v>
      </c>
      <c r="G106" s="38">
        <v>38.860999999999997</v>
      </c>
      <c r="H106" s="38">
        <v>38.200000000000003</v>
      </c>
      <c r="I106" s="38">
        <v>37.89</v>
      </c>
      <c r="J106" s="38">
        <v>37.850999999999999</v>
      </c>
      <c r="K106" s="38">
        <v>38.146000000000001</v>
      </c>
      <c r="L106" s="38">
        <v>39.744999999999997</v>
      </c>
      <c r="M106" s="38">
        <v>39.554047619047623</v>
      </c>
      <c r="N106" s="39">
        <v>39.302999999999997</v>
      </c>
      <c r="O106" s="40">
        <f t="shared" ref="O106" si="31">AVERAGE(C106:N106)</f>
        <v>38.821337301587306</v>
      </c>
      <c r="P106" s="41">
        <f t="shared" ref="P106" si="32">O106/O105-1</f>
        <v>-5.6992561665534569E-2</v>
      </c>
      <c r="Q106" s="79"/>
      <c r="R106" s="7"/>
      <c r="S106" s="7"/>
      <c r="T106" s="8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9"/>
    </row>
    <row r="107" spans="1:37" ht="15" customHeight="1">
      <c r="A107" s="22"/>
      <c r="B107" s="200">
        <v>2024</v>
      </c>
      <c r="C107" s="37">
        <v>39.139000000000003</v>
      </c>
      <c r="D107" s="38">
        <v>39.109000000000002</v>
      </c>
      <c r="E107" s="38">
        <v>38.420999999999999</v>
      </c>
      <c r="F107" s="38">
        <v>38.478999999999999</v>
      </c>
      <c r="G107" s="38">
        <v>38.515999999999998</v>
      </c>
      <c r="H107" s="38">
        <v>39.268000000000001</v>
      </c>
      <c r="I107" s="38">
        <v>40.161999999999999</v>
      </c>
      <c r="J107" s="38">
        <v>40.334000000000003</v>
      </c>
      <c r="K107" s="38">
        <v>41.1</v>
      </c>
      <c r="L107" s="38">
        <v>41.55</v>
      </c>
      <c r="M107" s="38">
        <v>42.470999999999997</v>
      </c>
      <c r="N107" s="39">
        <v>44.009</v>
      </c>
      <c r="O107" s="40">
        <f t="shared" ref="O107" si="33">AVERAGE(C107:N107)</f>
        <v>40.213166666666673</v>
      </c>
      <c r="P107" s="41">
        <f t="shared" ref="P107" si="34">O107/O106-1</f>
        <v>3.5852174649904756E-2</v>
      </c>
      <c r="Q107" s="79"/>
      <c r="R107" s="7"/>
      <c r="S107" s="7"/>
      <c r="T107" s="8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9"/>
    </row>
    <row r="108" spans="1:37" ht="15" customHeight="1">
      <c r="A108" s="22"/>
      <c r="B108" s="200">
        <v>2025</v>
      </c>
      <c r="C108" s="37">
        <v>43.69</v>
      </c>
      <c r="D108" s="38">
        <v>43.116999999999997</v>
      </c>
      <c r="E108" s="38">
        <v>42.271000000000001</v>
      </c>
      <c r="F108" s="38">
        <v>42.304000000000002</v>
      </c>
      <c r="G108" s="38">
        <v>41.682000000000002</v>
      </c>
      <c r="H108" s="38">
        <v>40.853999999999999</v>
      </c>
      <c r="I108" s="38">
        <v>40.246000000000002</v>
      </c>
      <c r="J108" s="38">
        <v>40.042999999999999</v>
      </c>
      <c r="K108" s="38">
        <v>39.97</v>
      </c>
      <c r="L108" s="38">
        <v>39.923000000000002</v>
      </c>
      <c r="M108" s="38">
        <v>39.723999999999997</v>
      </c>
      <c r="N108" s="39">
        <v>39.149000000000001</v>
      </c>
      <c r="O108" s="40">
        <f t="shared" ref="O108" si="35">AVERAGE(C108:N108)</f>
        <v>41.081083333333325</v>
      </c>
      <c r="P108" s="41">
        <f t="shared" ref="P108" si="36">O108/O107-1</f>
        <v>2.1582897807102652E-2</v>
      </c>
      <c r="Q108" s="79"/>
      <c r="R108" s="7"/>
      <c r="S108" s="7"/>
      <c r="T108" s="8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9"/>
    </row>
    <row r="109" spans="1:37" ht="15" customHeight="1" thickBot="1">
      <c r="A109" s="6"/>
      <c r="B109" s="201">
        <v>2026</v>
      </c>
      <c r="C109" s="45">
        <v>38.439</v>
      </c>
      <c r="D109" s="46">
        <v>38.567</v>
      </c>
      <c r="E109" s="46">
        <v>40.258000000000003</v>
      </c>
      <c r="F109" s="46">
        <v>40.009</v>
      </c>
      <c r="G109" s="46">
        <v>40.005000000000003</v>
      </c>
      <c r="H109" s="46">
        <v>40.265999999999998</v>
      </c>
      <c r="I109" s="46">
        <v>40.203000000000003</v>
      </c>
      <c r="J109" s="46">
        <v>40.203000000000003</v>
      </c>
      <c r="K109" s="46">
        <v>40.207000000000001</v>
      </c>
      <c r="L109" s="46"/>
      <c r="M109" s="46"/>
      <c r="N109" s="47"/>
      <c r="O109" s="40"/>
      <c r="P109" s="41"/>
      <c r="Q109" s="64"/>
      <c r="R109" s="7"/>
      <c r="S109" s="7"/>
      <c r="T109" s="8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9"/>
    </row>
    <row r="110" spans="1:37" ht="14.4" customHeight="1">
      <c r="A110" s="6"/>
      <c r="B110" s="82" t="s">
        <v>28</v>
      </c>
      <c r="C110" s="50"/>
      <c r="D110" s="50"/>
      <c r="E110" s="50"/>
      <c r="F110" s="7"/>
      <c r="G110" s="83"/>
      <c r="H110" s="7"/>
      <c r="I110" s="50"/>
      <c r="J110" s="50"/>
      <c r="K110" s="50"/>
      <c r="L110" s="50"/>
      <c r="M110" s="75"/>
      <c r="N110" s="264"/>
      <c r="O110" s="50"/>
      <c r="P110" s="50"/>
      <c r="Q110" s="64"/>
      <c r="R110" s="7"/>
      <c r="S110" s="7"/>
      <c r="T110" s="8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9"/>
    </row>
    <row r="111" spans="1:37" ht="14.4" customHeight="1">
      <c r="A111" s="6"/>
      <c r="B111" s="7"/>
      <c r="C111" s="7"/>
      <c r="D111" s="7"/>
      <c r="E111" s="272"/>
      <c r="F111" s="7"/>
      <c r="G111" s="7"/>
      <c r="H111" s="7"/>
      <c r="I111" s="7"/>
      <c r="J111" s="84"/>
      <c r="K111" s="7"/>
      <c r="L111" s="7"/>
      <c r="M111" s="7"/>
      <c r="N111" s="7"/>
      <c r="O111" s="7"/>
      <c r="P111" s="7"/>
      <c r="Q111" s="64"/>
      <c r="R111" s="7"/>
      <c r="S111" s="7"/>
      <c r="T111" s="8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9"/>
    </row>
    <row r="112" spans="1:37" ht="14.4" customHeight="1">
      <c r="A112" s="6"/>
      <c r="B112" s="7"/>
      <c r="C112" s="7"/>
      <c r="D112" s="7"/>
      <c r="E112" s="7"/>
      <c r="F112" s="7"/>
      <c r="G112" s="7"/>
      <c r="H112" s="7"/>
      <c r="I112" s="7"/>
      <c r="J112" s="84"/>
      <c r="K112" s="7"/>
      <c r="L112" s="7"/>
      <c r="M112" s="7"/>
      <c r="N112" s="7"/>
      <c r="O112" s="7"/>
      <c r="P112" s="7"/>
      <c r="Q112" s="64"/>
      <c r="R112" s="7"/>
      <c r="S112" s="7"/>
      <c r="T112" s="8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9"/>
    </row>
    <row r="113" spans="1:37" ht="14.4" customHeight="1">
      <c r="A113" s="6"/>
      <c r="B113" s="7"/>
      <c r="C113" s="7"/>
      <c r="D113" s="7"/>
      <c r="E113" s="7"/>
      <c r="F113" s="7"/>
      <c r="G113" s="7"/>
      <c r="H113" s="7"/>
      <c r="I113" s="7"/>
      <c r="J113" s="84"/>
      <c r="K113" s="7"/>
      <c r="L113" s="7"/>
      <c r="M113" s="7"/>
      <c r="N113" s="7"/>
      <c r="O113" s="7"/>
      <c r="P113" s="7"/>
      <c r="Q113" s="64"/>
      <c r="R113" s="7"/>
      <c r="S113" s="7"/>
      <c r="T113" s="8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9"/>
    </row>
    <row r="114" spans="1:37" ht="14.4" customHeight="1">
      <c r="A114" s="6"/>
      <c r="B114" s="7"/>
      <c r="C114" s="7"/>
      <c r="D114" s="7"/>
      <c r="E114" s="7"/>
      <c r="F114" s="7"/>
      <c r="G114" s="7"/>
      <c r="H114" s="7"/>
      <c r="I114" s="7"/>
      <c r="J114" s="84"/>
      <c r="K114" s="7"/>
      <c r="L114" s="7"/>
      <c r="M114" s="7"/>
      <c r="N114" s="7"/>
      <c r="O114" s="7"/>
      <c r="P114" s="7"/>
      <c r="Q114" s="64"/>
      <c r="R114" s="7"/>
      <c r="S114" s="7"/>
      <c r="T114" s="8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9"/>
    </row>
    <row r="115" spans="1:37" ht="14.4" customHeight="1">
      <c r="A115" s="6"/>
      <c r="B115" s="7"/>
      <c r="C115" s="7"/>
      <c r="D115" s="7"/>
      <c r="E115" s="7"/>
      <c r="F115" s="7"/>
      <c r="G115" s="7"/>
      <c r="H115" s="7"/>
      <c r="I115" s="7"/>
      <c r="J115" s="84"/>
      <c r="K115" s="7"/>
      <c r="L115" s="7"/>
      <c r="M115" s="7"/>
      <c r="N115" s="7"/>
      <c r="O115" s="64"/>
      <c r="P115" s="7"/>
      <c r="Q115" s="7"/>
      <c r="R115" s="7"/>
      <c r="S115" s="7"/>
      <c r="T115" s="8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9"/>
    </row>
    <row r="116" spans="1:37" ht="14.4" customHeight="1">
      <c r="A116" s="6"/>
      <c r="B116" s="7"/>
      <c r="C116" s="7"/>
      <c r="D116" s="7"/>
      <c r="E116" s="7"/>
      <c r="F116" s="7"/>
      <c r="G116" s="7"/>
      <c r="H116" s="7"/>
      <c r="I116" s="7"/>
      <c r="J116" s="84"/>
      <c r="K116" s="7"/>
      <c r="L116" s="7"/>
      <c r="M116" s="7"/>
      <c r="N116" s="7"/>
      <c r="O116" s="7"/>
      <c r="P116" s="7"/>
      <c r="Q116" s="7"/>
      <c r="R116" s="7"/>
      <c r="S116" s="7"/>
      <c r="T116" s="8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9"/>
    </row>
    <row r="117" spans="1:37" ht="14.4" customHeight="1">
      <c r="A117" s="6"/>
      <c r="B117" s="7"/>
      <c r="C117" s="7"/>
      <c r="D117" s="7"/>
      <c r="E117" s="7"/>
      <c r="F117" s="7"/>
      <c r="G117" s="7"/>
      <c r="H117" s="7"/>
      <c r="I117" s="7"/>
      <c r="J117" s="84"/>
      <c r="K117" s="7"/>
      <c r="L117" s="7"/>
      <c r="M117" s="7"/>
      <c r="N117" s="7"/>
      <c r="O117" s="7"/>
      <c r="P117" s="7"/>
      <c r="Q117" s="7"/>
      <c r="R117" s="7"/>
      <c r="S117" s="7"/>
      <c r="T117" s="8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9"/>
    </row>
    <row r="118" spans="1:37" ht="14.4" customHeight="1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8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9"/>
    </row>
    <row r="119" spans="1:37" ht="14.4" customHeight="1">
      <c r="A119" s="85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7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8"/>
    </row>
  </sheetData>
  <mergeCells count="7">
    <mergeCell ref="F82:J82"/>
    <mergeCell ref="E10:M10"/>
    <mergeCell ref="E46:M46"/>
    <mergeCell ref="W10:AE10"/>
    <mergeCell ref="W46:AE46"/>
    <mergeCell ref="B45:R45"/>
    <mergeCell ref="B81:R81"/>
  </mergeCells>
  <hyperlinks>
    <hyperlink ref="V6" location="'Listado Datos'!R1C1" display="Acceder al listado de datos" xr:uid="{00000000-0004-0000-0000-000000000000}"/>
  </hyperlinks>
  <pageMargins left="0" right="0" top="0" bottom="0" header="0" footer="0"/>
  <pageSetup orientation="landscape"/>
  <headerFooter>
    <oddFooter>&amp;C&amp;"Helvetica Neue,Regular"&amp;12&amp;K000000&amp;P</oddFooter>
  </headerFooter>
  <ignoredErrors>
    <ignoredError sqref="O90:O105 O13:O34 O49:O71 O85:O89 AG20:AG33 AG12:AG19 AG49:AG71 AG34:AH34 O106:O108 O35:P35 S35:T35 AG35 AH36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0"/>
  <sheetViews>
    <sheetView showGridLines="0" topLeftCell="A49" workbookViewId="0">
      <selection activeCell="M29" sqref="M29"/>
    </sheetView>
  </sheetViews>
  <sheetFormatPr baseColWidth="10" defaultColWidth="11.44140625" defaultRowHeight="14.4" customHeight="1"/>
  <cols>
    <col min="1" max="1" width="17.44140625" style="1" customWidth="1"/>
    <col min="2" max="2" width="13.88671875" style="1" customWidth="1"/>
    <col min="3" max="4" width="8.44140625" style="1" customWidth="1"/>
    <col min="5" max="5" width="8.88671875" style="1" customWidth="1"/>
    <col min="6" max="6" width="8.44140625" style="1" customWidth="1"/>
    <col min="7" max="7" width="10" style="1" customWidth="1"/>
    <col min="8" max="8" width="9.88671875" style="1" customWidth="1"/>
    <col min="9" max="9" width="8.6640625" style="1" customWidth="1"/>
    <col min="10" max="10" width="8.88671875" style="1" customWidth="1"/>
    <col min="11" max="11" width="8.109375" style="1" customWidth="1"/>
    <col min="12" max="13" width="8.44140625" style="1" customWidth="1"/>
    <col min="14" max="14" width="8.109375" style="1" customWidth="1"/>
    <col min="15" max="15" width="11.109375" style="1" customWidth="1"/>
    <col min="16" max="16" width="9" style="1" customWidth="1"/>
    <col min="17" max="18" width="11.44140625" style="1" customWidth="1"/>
    <col min="19" max="16384" width="11.44140625" style="1"/>
  </cols>
  <sheetData>
    <row r="1" spans="1:17" ht="14.4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89"/>
    </row>
    <row r="2" spans="1:17" ht="14.4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0"/>
    </row>
    <row r="3" spans="1:17" ht="14.4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0"/>
    </row>
    <row r="4" spans="1:17" ht="14.4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90"/>
    </row>
    <row r="5" spans="1:17" ht="14.4" customHeight="1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90"/>
    </row>
    <row r="6" spans="1:17" ht="14.4" customHeigh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90"/>
    </row>
    <row r="7" spans="1:17" ht="14.4" customHeight="1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90"/>
    </row>
    <row r="8" spans="1:17" ht="14.4" customHeight="1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90"/>
    </row>
    <row r="9" spans="1:17" ht="15" customHeight="1">
      <c r="A9" s="6"/>
      <c r="B9" s="7"/>
      <c r="C9" s="7"/>
      <c r="D9" s="7"/>
      <c r="E9" s="7"/>
      <c r="F9" s="13"/>
      <c r="G9" s="13"/>
      <c r="H9" s="13"/>
      <c r="I9" s="13"/>
      <c r="J9" s="13"/>
      <c r="K9" s="7"/>
      <c r="L9" s="7"/>
      <c r="M9" s="7"/>
      <c r="N9" s="7"/>
      <c r="O9" s="7"/>
      <c r="P9" s="7"/>
      <c r="Q9" s="90"/>
    </row>
    <row r="10" spans="1:17" ht="15" customHeight="1">
      <c r="A10" s="6"/>
      <c r="B10" s="7"/>
      <c r="C10" s="7"/>
      <c r="D10" s="7"/>
      <c r="E10" s="69"/>
      <c r="F10" s="367" t="s">
        <v>29</v>
      </c>
      <c r="G10" s="368"/>
      <c r="H10" s="368"/>
      <c r="I10" s="368"/>
      <c r="J10" s="369"/>
      <c r="K10" s="70"/>
      <c r="L10" s="12" t="s">
        <v>2</v>
      </c>
      <c r="M10" s="7"/>
      <c r="N10" s="7"/>
      <c r="O10" s="7"/>
      <c r="P10" s="7"/>
      <c r="Q10" s="90"/>
    </row>
    <row r="11" spans="1:17" ht="15" customHeight="1">
      <c r="A11" s="6"/>
      <c r="B11" s="7"/>
      <c r="C11" s="7"/>
      <c r="D11" s="7"/>
      <c r="E11" s="7"/>
      <c r="F11" s="50"/>
      <c r="G11" s="20"/>
      <c r="H11" s="20"/>
      <c r="I11" s="20"/>
      <c r="J11" s="50"/>
      <c r="K11" s="7"/>
      <c r="L11" s="7"/>
      <c r="M11" s="7"/>
      <c r="N11" s="7"/>
      <c r="O11" s="7"/>
      <c r="P11" s="7"/>
      <c r="Q11" s="90"/>
    </row>
    <row r="12" spans="1:17" ht="15" customHeight="1">
      <c r="A12" s="6"/>
      <c r="B12" s="7"/>
      <c r="C12" s="7"/>
      <c r="D12" s="7"/>
      <c r="E12" s="7"/>
      <c r="F12" s="69"/>
      <c r="G12" s="370" t="s">
        <v>30</v>
      </c>
      <c r="H12" s="371"/>
      <c r="I12" s="372"/>
      <c r="J12" s="70"/>
      <c r="K12" s="7"/>
      <c r="L12" s="7"/>
      <c r="M12" s="7"/>
      <c r="N12" s="7"/>
      <c r="O12" s="7"/>
      <c r="P12" s="7"/>
      <c r="Q12" s="90"/>
    </row>
    <row r="13" spans="1:17" ht="15" customHeight="1">
      <c r="A13" s="6"/>
      <c r="B13" s="13"/>
      <c r="C13" s="13"/>
      <c r="D13" s="13"/>
      <c r="E13" s="13"/>
      <c r="F13" s="13"/>
      <c r="G13" s="20"/>
      <c r="H13" s="20"/>
      <c r="I13" s="20"/>
      <c r="J13" s="13"/>
      <c r="K13" s="13"/>
      <c r="L13" s="13"/>
      <c r="M13" s="13"/>
      <c r="N13" s="13"/>
      <c r="O13" s="13"/>
      <c r="P13" s="13"/>
      <c r="Q13" s="90"/>
    </row>
    <row r="14" spans="1:17" ht="29.25" customHeight="1">
      <c r="A14" s="22"/>
      <c r="B14" s="91" t="s">
        <v>4</v>
      </c>
      <c r="C14" s="23" t="s">
        <v>5</v>
      </c>
      <c r="D14" s="24" t="s">
        <v>6</v>
      </c>
      <c r="E14" s="24" t="s">
        <v>7</v>
      </c>
      <c r="F14" s="24" t="s">
        <v>8</v>
      </c>
      <c r="G14" s="24" t="s">
        <v>9</v>
      </c>
      <c r="H14" s="24" t="s">
        <v>10</v>
      </c>
      <c r="I14" s="24" t="s">
        <v>11</v>
      </c>
      <c r="J14" s="24" t="s">
        <v>12</v>
      </c>
      <c r="K14" s="24" t="s">
        <v>13</v>
      </c>
      <c r="L14" s="24" t="s">
        <v>14</v>
      </c>
      <c r="M14" s="24" t="s">
        <v>15</v>
      </c>
      <c r="N14" s="25" t="s">
        <v>16</v>
      </c>
      <c r="O14" s="92" t="s">
        <v>31</v>
      </c>
      <c r="P14" s="25" t="s">
        <v>32</v>
      </c>
      <c r="Q14" s="74"/>
    </row>
    <row r="15" spans="1:17" ht="14.4" customHeight="1">
      <c r="A15" s="22"/>
      <c r="B15" s="29">
        <v>2012</v>
      </c>
      <c r="C15" s="93">
        <v>3.5796174770751601E-2</v>
      </c>
      <c r="D15" s="94">
        <v>3.7037614194170898E-2</v>
      </c>
      <c r="E15" s="94">
        <v>3.8358175827051998E-2</v>
      </c>
      <c r="F15" s="94">
        <v>3.83347183876869E-2</v>
      </c>
      <c r="G15" s="94">
        <v>3.83398766062297E-2</v>
      </c>
      <c r="H15" s="94">
        <v>3.8223088428491397E-2</v>
      </c>
      <c r="I15" s="94">
        <v>3.7676289689193697E-2</v>
      </c>
      <c r="J15" s="94">
        <v>3.7198806446451002E-2</v>
      </c>
      <c r="K15" s="94">
        <v>3.6397794031663502E-2</v>
      </c>
      <c r="L15" s="94">
        <v>3.6648371358421999E-2</v>
      </c>
      <c r="M15" s="94">
        <v>3.55304327271148E-2</v>
      </c>
      <c r="N15" s="95">
        <v>3.5603539744379097E-2</v>
      </c>
      <c r="O15" s="96">
        <v>3.7031763456253801E-2</v>
      </c>
      <c r="P15" s="97"/>
      <c r="Q15" s="98"/>
    </row>
    <row r="16" spans="1:17" ht="14.4" customHeight="1">
      <c r="A16" s="22"/>
      <c r="B16" s="36">
        <v>2013</v>
      </c>
      <c r="C16" s="99">
        <v>3.6288317298224501E-2</v>
      </c>
      <c r="D16" s="100">
        <v>3.72902899122078E-2</v>
      </c>
      <c r="E16" s="100">
        <v>3.8544455582634501E-2</v>
      </c>
      <c r="F16" s="100">
        <v>3.8421909513423301E-2</v>
      </c>
      <c r="G16" s="100">
        <v>3.8145414853661498E-2</v>
      </c>
      <c r="H16" s="100">
        <v>3.7312759399958699E-2</v>
      </c>
      <c r="I16" s="100">
        <v>3.7399445466680899E-2</v>
      </c>
      <c r="J16" s="100">
        <v>3.6527945399695699E-2</v>
      </c>
      <c r="K16" s="100">
        <v>3.6788778297918101E-2</v>
      </c>
      <c r="L16" s="100">
        <v>3.5948186981993903E-2</v>
      </c>
      <c r="M16" s="100">
        <v>3.5807391723338702E-2</v>
      </c>
      <c r="N16" s="101">
        <v>3.5733648907098702E-2</v>
      </c>
      <c r="O16" s="102">
        <v>3.6919172654791603E-2</v>
      </c>
      <c r="P16" s="41">
        <f t="shared" ref="P16:P28" si="0">O16/O15-1</f>
        <v>-3.0403845497447568E-3</v>
      </c>
      <c r="Q16" s="98"/>
    </row>
    <row r="17" spans="1:19" ht="14.4" customHeight="1">
      <c r="A17" s="22"/>
      <c r="B17" s="36">
        <v>2014</v>
      </c>
      <c r="C17" s="99">
        <v>3.64910222298526E-2</v>
      </c>
      <c r="D17" s="100">
        <v>3.7966868829009702E-2</v>
      </c>
      <c r="E17" s="100">
        <v>3.8558014928275999E-2</v>
      </c>
      <c r="F17" s="100">
        <v>3.8855878957783301E-2</v>
      </c>
      <c r="G17" s="100">
        <v>3.8321652598785602E-2</v>
      </c>
      <c r="H17" s="100">
        <v>3.8396867610976097E-2</v>
      </c>
      <c r="I17" s="100">
        <v>3.7404763591441299E-2</v>
      </c>
      <c r="J17" s="100">
        <v>3.6688853254171497E-2</v>
      </c>
      <c r="K17" s="100">
        <v>3.6461146616984297E-2</v>
      </c>
      <c r="L17" s="100">
        <v>3.6134234024656597E-2</v>
      </c>
      <c r="M17" s="100">
        <v>3.6444661784826297E-2</v>
      </c>
      <c r="N17" s="101">
        <v>3.6916516650921299E-2</v>
      </c>
      <c r="O17" s="102">
        <v>3.7261722369194901E-2</v>
      </c>
      <c r="P17" s="41">
        <f t="shared" si="0"/>
        <v>9.2783691987430306E-3</v>
      </c>
      <c r="Q17" s="98"/>
    </row>
    <row r="18" spans="1:19" ht="14.4" customHeight="1">
      <c r="A18" s="22"/>
      <c r="B18" s="194" t="s">
        <v>33</v>
      </c>
      <c r="C18" s="99">
        <v>3.7133287243522203E-2</v>
      </c>
      <c r="D18" s="100">
        <v>3.7498627941266502E-2</v>
      </c>
      <c r="E18" s="100">
        <v>3.8605771230139502E-2</v>
      </c>
      <c r="F18" s="100">
        <v>3.9585440640588901E-2</v>
      </c>
      <c r="G18" s="100">
        <v>3.9045765853379599E-2</v>
      </c>
      <c r="H18" s="100">
        <v>3.8547358369020998E-2</v>
      </c>
      <c r="I18" s="100">
        <v>3.7943885692989197E-2</v>
      </c>
      <c r="J18" s="100">
        <v>3.7407004280133903E-2</v>
      </c>
      <c r="K18" s="100">
        <v>3.6135486648229499E-2</v>
      </c>
      <c r="L18" s="100">
        <v>3.5904060675028202E-2</v>
      </c>
      <c r="M18" s="100">
        <v>3.6136426427680501E-2</v>
      </c>
      <c r="N18" s="101">
        <v>3.6214304164559098E-2</v>
      </c>
      <c r="O18" s="102">
        <v>3.7445320398831701E-2</v>
      </c>
      <c r="P18" s="41">
        <f t="shared" si="0"/>
        <v>4.9272555846366917E-3</v>
      </c>
      <c r="Q18" s="98"/>
    </row>
    <row r="19" spans="1:19" ht="14.4" customHeight="1">
      <c r="A19" s="22"/>
      <c r="B19" s="194" t="s">
        <v>34</v>
      </c>
      <c r="C19" s="99">
        <v>3.68789712204955E-2</v>
      </c>
      <c r="D19" s="100">
        <v>3.7586079667827198E-2</v>
      </c>
      <c r="E19" s="100">
        <v>3.92981184334142E-2</v>
      </c>
      <c r="F19" s="100">
        <v>4.0670079047558899E-2</v>
      </c>
      <c r="G19" s="100">
        <v>3.99061468938013E-2</v>
      </c>
      <c r="H19" s="100">
        <v>3.9386025519797398E-2</v>
      </c>
      <c r="I19" s="100">
        <v>3.8910933826431397E-2</v>
      </c>
      <c r="J19" s="100">
        <v>3.6811999999999998E-2</v>
      </c>
      <c r="K19" s="100">
        <v>3.7234428511228199E-2</v>
      </c>
      <c r="L19" s="100">
        <v>3.6168997494555898E-2</v>
      </c>
      <c r="M19" s="100">
        <v>3.56652635379653E-2</v>
      </c>
      <c r="N19" s="101">
        <v>3.6428317054760198E-2</v>
      </c>
      <c r="O19" s="102">
        <v>3.7749600808042197E-2</v>
      </c>
      <c r="P19" s="41">
        <f t="shared" si="0"/>
        <v>8.1259929403618703E-3</v>
      </c>
      <c r="Q19" s="98"/>
    </row>
    <row r="20" spans="1:19" ht="14.4" customHeight="1">
      <c r="A20" s="22"/>
      <c r="B20" s="194" t="s">
        <v>35</v>
      </c>
      <c r="C20" s="99">
        <v>3.7103205319530798E-2</v>
      </c>
      <c r="D20" s="100">
        <v>3.83020441934716E-2</v>
      </c>
      <c r="E20" s="100">
        <v>3.8643245509654603E-2</v>
      </c>
      <c r="F20" s="100">
        <v>3.9275763276752002E-2</v>
      </c>
      <c r="G20" s="100">
        <v>3.9581999999999999E-2</v>
      </c>
      <c r="H20" s="100">
        <v>3.8579279580492502E-2</v>
      </c>
      <c r="I20" s="100">
        <v>3.8020166593852198E-2</v>
      </c>
      <c r="J20" s="100">
        <v>3.7095999999999997E-2</v>
      </c>
      <c r="K20" s="100">
        <v>3.7468909359508001E-2</v>
      </c>
      <c r="L20" s="100">
        <v>3.68089009845406E-2</v>
      </c>
      <c r="M20" s="100">
        <v>3.5943881043044003E-2</v>
      </c>
      <c r="N20" s="101">
        <v>3.6488033689386003E-2</v>
      </c>
      <c r="O20" s="102">
        <v>3.7701911037253198E-2</v>
      </c>
      <c r="P20" s="41">
        <f t="shared" si="0"/>
        <v>-1.2633185455788176E-3</v>
      </c>
      <c r="Q20" s="98"/>
    </row>
    <row r="21" spans="1:19" ht="14.4" customHeight="1">
      <c r="A21" s="22"/>
      <c r="B21" s="194" t="s">
        <v>36</v>
      </c>
      <c r="C21" s="99">
        <v>3.68441489045662E-2</v>
      </c>
      <c r="D21" s="100">
        <v>3.74633333333333E-2</v>
      </c>
      <c r="E21" s="100">
        <v>3.9144947998788197E-2</v>
      </c>
      <c r="F21" s="100">
        <v>3.8966457204758699E-2</v>
      </c>
      <c r="G21" s="100">
        <v>3.8774207974498598E-2</v>
      </c>
      <c r="H21" s="100">
        <v>3.88741506115792E-2</v>
      </c>
      <c r="I21" s="100">
        <v>3.8881202960293501E-2</v>
      </c>
      <c r="J21" s="100">
        <v>3.8053759316991898E-2</v>
      </c>
      <c r="K21" s="100">
        <v>3.7414030875804902E-2</v>
      </c>
      <c r="L21" s="100">
        <v>3.7168883423880798E-2</v>
      </c>
      <c r="M21" s="100">
        <v>3.6710262631145997E-2</v>
      </c>
      <c r="N21" s="101">
        <v>3.7182470098506899E-2</v>
      </c>
      <c r="O21" s="102">
        <v>3.7876508382417101E-2</v>
      </c>
      <c r="P21" s="41">
        <f t="shared" si="0"/>
        <v>4.6309945665985452E-3</v>
      </c>
      <c r="Q21" s="98"/>
    </row>
    <row r="22" spans="1:19" ht="14.4" customHeight="1">
      <c r="A22" s="22"/>
      <c r="B22" s="194" t="s">
        <v>37</v>
      </c>
      <c r="C22" s="99">
        <v>3.7683616746510502E-2</v>
      </c>
      <c r="D22" s="100">
        <v>3.8352598519981802E-2</v>
      </c>
      <c r="E22" s="100">
        <v>3.9029561524066697E-2</v>
      </c>
      <c r="F22" s="100">
        <v>3.9101103372454003E-2</v>
      </c>
      <c r="G22" s="100">
        <v>3.9751940966324499E-2</v>
      </c>
      <c r="H22" s="100">
        <v>3.9086805214859202E-2</v>
      </c>
      <c r="I22" s="100">
        <v>3.81506840866234E-2</v>
      </c>
      <c r="J22" s="100">
        <v>3.7679358512912098E-2</v>
      </c>
      <c r="K22" s="100">
        <v>3.7240046314753403E-2</v>
      </c>
      <c r="L22" s="100">
        <v>3.7422572141484499E-2</v>
      </c>
      <c r="M22" s="100">
        <v>3.65926430628895E-2</v>
      </c>
      <c r="N22" s="101">
        <v>3.7538722601674103E-2</v>
      </c>
      <c r="O22" s="102">
        <v>3.78565751172001E-2</v>
      </c>
      <c r="P22" s="41">
        <f t="shared" si="0"/>
        <v>-5.262698719677994E-4</v>
      </c>
      <c r="Q22" s="98"/>
    </row>
    <row r="23" spans="1:19" ht="14.4" customHeight="1">
      <c r="A23" s="22"/>
      <c r="B23" s="194" t="s">
        <v>38</v>
      </c>
      <c r="C23" s="99">
        <v>3.7397495969651799E-2</v>
      </c>
      <c r="D23" s="100">
        <v>3.8014290269062799E-2</v>
      </c>
      <c r="E23" s="100">
        <v>3.9239678370474901E-2</v>
      </c>
      <c r="F23" s="100">
        <v>3.96176992148594E-2</v>
      </c>
      <c r="G23" s="100">
        <v>3.9949612633145302E-2</v>
      </c>
      <c r="H23" s="100">
        <v>3.8807068701470597E-2</v>
      </c>
      <c r="I23" s="100">
        <v>3.8046104249469803E-2</v>
      </c>
      <c r="J23" s="100">
        <v>3.7302643204279798E-2</v>
      </c>
      <c r="K23" s="100">
        <v>3.7648015627409402E-2</v>
      </c>
      <c r="L23" s="100">
        <v>3.7425891396686901E-2</v>
      </c>
      <c r="M23" s="100">
        <v>3.6661618633352197E-2</v>
      </c>
      <c r="N23" s="101">
        <v>3.7487889888289501E-2</v>
      </c>
      <c r="O23" s="102">
        <v>3.8014784000000003E-2</v>
      </c>
      <c r="P23" s="41">
        <f t="shared" si="0"/>
        <v>4.1791652390661405E-3</v>
      </c>
      <c r="Q23" s="98"/>
    </row>
    <row r="24" spans="1:19" ht="14.4" customHeight="1">
      <c r="A24" s="22"/>
      <c r="B24" s="194" t="s">
        <v>39</v>
      </c>
      <c r="C24" s="99">
        <v>3.7789499842257997E-2</v>
      </c>
      <c r="D24" s="100">
        <v>3.87701185452917E-2</v>
      </c>
      <c r="E24" s="100">
        <v>3.9652218084881702E-2</v>
      </c>
      <c r="F24" s="100">
        <v>4.0039821410044397E-2</v>
      </c>
      <c r="G24" s="100">
        <v>3.9892883779493203E-2</v>
      </c>
      <c r="H24" s="100">
        <v>3.9796523892949201E-2</v>
      </c>
      <c r="I24" s="100">
        <v>3.8947829364680303E-2</v>
      </c>
      <c r="J24" s="100">
        <v>3.8296461804713001E-2</v>
      </c>
      <c r="K24" s="100">
        <v>3.8270435161166898E-2</v>
      </c>
      <c r="L24" s="100">
        <v>3.7856374383229502E-2</v>
      </c>
      <c r="M24" s="100">
        <v>3.74779985288183E-2</v>
      </c>
      <c r="N24" s="101">
        <v>3.6908953483118699E-2</v>
      </c>
      <c r="O24" s="102">
        <v>3.85617185864481E-2</v>
      </c>
      <c r="P24" s="41">
        <f t="shared" si="0"/>
        <v>1.4387417970021854E-2</v>
      </c>
      <c r="Q24" s="98"/>
    </row>
    <row r="25" spans="1:19" ht="14.4" customHeight="1">
      <c r="A25" s="22"/>
      <c r="B25" s="200" t="s">
        <v>40</v>
      </c>
      <c r="C25" s="99">
        <v>3.78329290502794E-2</v>
      </c>
      <c r="D25" s="100">
        <v>3.89881881228352E-2</v>
      </c>
      <c r="E25" s="100">
        <v>4.0269527962401797E-2</v>
      </c>
      <c r="F25" s="100">
        <v>4.0417428595393698E-2</v>
      </c>
      <c r="G25" s="100">
        <v>4.0115362983394402E-2</v>
      </c>
      <c r="H25" s="100">
        <v>3.9899999999999998E-2</v>
      </c>
      <c r="I25" s="100">
        <v>3.9465518269064123E-2</v>
      </c>
      <c r="J25" s="100">
        <v>3.7719528712704134E-2</v>
      </c>
      <c r="K25" s="100">
        <v>3.780959287632641E-2</v>
      </c>
      <c r="L25" s="100">
        <v>3.8129142570975549E-2</v>
      </c>
      <c r="M25" s="100">
        <v>3.8208284005134062E-2</v>
      </c>
      <c r="N25" s="101">
        <v>3.7937810625208311E-2</v>
      </c>
      <c r="O25" s="102">
        <v>3.8790109121452927E-2</v>
      </c>
      <c r="P25" s="41">
        <f t="shared" si="0"/>
        <v>5.9227270821142763E-3</v>
      </c>
      <c r="Q25" s="98"/>
    </row>
    <row r="26" spans="1:19" ht="14.4" customHeight="1">
      <c r="A26" s="22"/>
      <c r="B26" s="200" t="s">
        <v>41</v>
      </c>
      <c r="C26" s="99">
        <v>3.8086888273059456E-2</v>
      </c>
      <c r="D26" s="100">
        <v>3.9066822242545582E-2</v>
      </c>
      <c r="E26" s="100">
        <v>3.9823790558037753E-2</v>
      </c>
      <c r="F26" s="100">
        <v>4.0471918061096179E-2</v>
      </c>
      <c r="G26" s="100">
        <v>4.0360352992275243E-2</v>
      </c>
      <c r="H26" s="100">
        <v>3.9404605642476671E-2</v>
      </c>
      <c r="I26" s="100">
        <v>3.9659274918383995E-2</v>
      </c>
      <c r="J26" s="100">
        <v>3.8801494243189537E-2</v>
      </c>
      <c r="K26" s="100">
        <v>3.8803509951225335E-2</v>
      </c>
      <c r="L26" s="100">
        <v>3.865581346345532E-2</v>
      </c>
      <c r="M26" s="100">
        <v>3.8229507146367324E-2</v>
      </c>
      <c r="N26" s="101">
        <v>3.8312584380668563E-2</v>
      </c>
      <c r="O26" s="102">
        <v>3.9089138733558793E-2</v>
      </c>
      <c r="P26" s="41">
        <f t="shared" si="0"/>
        <v>7.7089139184836064E-3</v>
      </c>
      <c r="Q26" s="98"/>
    </row>
    <row r="27" spans="1:19" ht="15" customHeight="1">
      <c r="A27" s="22"/>
      <c r="B27" s="200">
        <v>2024</v>
      </c>
      <c r="C27" s="99">
        <v>3.8725127208630042E-2</v>
      </c>
      <c r="D27" s="100">
        <v>3.9158552200166834E-2</v>
      </c>
      <c r="E27" s="100">
        <v>4.0708798207810329E-2</v>
      </c>
      <c r="F27" s="100">
        <v>4.1577304064527941E-2</v>
      </c>
      <c r="G27" s="100">
        <v>4.1705038522421134E-2</v>
      </c>
      <c r="H27" s="100">
        <v>4.1524812551007546E-2</v>
      </c>
      <c r="I27" s="100">
        <v>3.8876285684415007E-2</v>
      </c>
      <c r="J27" s="100">
        <v>3.8392180159529034E-2</v>
      </c>
      <c r="K27" s="100">
        <v>3.826170998141476E-2</v>
      </c>
      <c r="L27" s="100">
        <v>3.7466590450104913E-2</v>
      </c>
      <c r="M27" s="100">
        <v>3.7466723295477539E-2</v>
      </c>
      <c r="N27" s="101">
        <v>3.8215322853428969E-2</v>
      </c>
      <c r="O27" s="102">
        <v>3.9153362090932273E-2</v>
      </c>
      <c r="P27" s="41">
        <f t="shared" si="0"/>
        <v>1.6429975040188616E-3</v>
      </c>
      <c r="Q27" s="74"/>
    </row>
    <row r="28" spans="1:19" ht="15" customHeight="1">
      <c r="A28" s="6"/>
      <c r="B28" s="200">
        <v>2025</v>
      </c>
      <c r="C28" s="99">
        <v>3.8773369650315193E-2</v>
      </c>
      <c r="D28" s="100">
        <v>4.0027431776091062E-2</v>
      </c>
      <c r="E28" s="100">
        <v>4.080600372962493E-2</v>
      </c>
      <c r="F28" s="100">
        <v>4.1570699189433236E-2</v>
      </c>
      <c r="G28" s="100">
        <v>4.101702256227148E-2</v>
      </c>
      <c r="H28" s="100">
        <v>4.0772100720218342E-2</v>
      </c>
      <c r="I28" s="100">
        <v>3.9921896980652731E-2</v>
      </c>
      <c r="J28" s="100">
        <v>3.8706597420352519E-2</v>
      </c>
      <c r="K28" s="100">
        <v>3.8982627379481667E-2</v>
      </c>
      <c r="L28" s="100">
        <v>3.8772387806224523E-2</v>
      </c>
      <c r="M28" s="100">
        <v>3.8501859664163016E-2</v>
      </c>
      <c r="N28" s="101">
        <v>3.8844812809281072E-2</v>
      </c>
      <c r="O28" s="102">
        <v>3.9605794619047695E-2</v>
      </c>
      <c r="P28" s="41">
        <f t="shared" si="0"/>
        <v>1.1555394069726832E-2</v>
      </c>
      <c r="Q28" s="90"/>
    </row>
    <row r="29" spans="1:19" ht="15" customHeight="1" thickBot="1">
      <c r="A29" s="6"/>
      <c r="B29" s="201">
        <v>2026</v>
      </c>
      <c r="C29" s="103">
        <v>3.9941008548791256E-2</v>
      </c>
      <c r="D29" s="104">
        <v>4.0747026305396547E-2</v>
      </c>
      <c r="E29" s="104">
        <v>4.2062417938768498E-2</v>
      </c>
      <c r="F29" s="104">
        <v>4.1966373257041917E-2</v>
      </c>
      <c r="G29" s="104">
        <v>4.196503986612269E-2</v>
      </c>
      <c r="H29" s="104">
        <v>4.1255608911305482E-2</v>
      </c>
      <c r="I29" s="104">
        <v>4.0831668392197998E-2</v>
      </c>
      <c r="J29" s="104">
        <v>4.0358494253814485E-2</v>
      </c>
      <c r="K29" s="104">
        <v>3.9471154251157388E-2</v>
      </c>
      <c r="L29" s="104"/>
      <c r="M29" s="104"/>
      <c r="N29" s="105"/>
      <c r="O29" s="106"/>
      <c r="P29" s="48"/>
      <c r="Q29" s="90"/>
    </row>
    <row r="30" spans="1:19" ht="14.4" customHeight="1">
      <c r="A30" s="6"/>
      <c r="B30" s="82" t="s">
        <v>42</v>
      </c>
      <c r="C30" s="31"/>
      <c r="D30" s="31"/>
      <c r="E30" s="31"/>
      <c r="F30" s="31"/>
      <c r="G30" s="31"/>
      <c r="H30" s="7"/>
      <c r="I30" s="50"/>
      <c r="J30" s="50"/>
      <c r="K30" s="50"/>
      <c r="L30" s="50"/>
      <c r="M30" s="50"/>
      <c r="N30" s="31"/>
      <c r="O30" s="211"/>
      <c r="P30" s="107"/>
      <c r="Q30" s="108"/>
    </row>
    <row r="31" spans="1:19" ht="14.4" customHeight="1">
      <c r="A31" s="6"/>
      <c r="B31" s="14" t="s">
        <v>43</v>
      </c>
      <c r="C31" s="38"/>
      <c r="D31" s="38"/>
      <c r="E31" s="38"/>
      <c r="F31" s="38"/>
      <c r="G31" s="7"/>
      <c r="H31" s="7"/>
      <c r="I31" s="7"/>
      <c r="J31" s="38"/>
      <c r="K31" s="38"/>
      <c r="L31" s="38"/>
      <c r="M31" s="38"/>
      <c r="N31" s="38"/>
      <c r="O31" s="109"/>
      <c r="P31" s="110"/>
      <c r="Q31" s="108"/>
    </row>
    <row r="32" spans="1:19" ht="15" customHeight="1" thickBot="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08"/>
      <c r="S32" s="7"/>
    </row>
    <row r="33" spans="1:17" ht="15" customHeight="1" thickBot="1">
      <c r="A33" s="6"/>
      <c r="B33" s="7"/>
      <c r="C33" s="7"/>
      <c r="D33" s="7"/>
      <c r="E33" s="7"/>
      <c r="F33" s="7"/>
      <c r="G33" s="373" t="s">
        <v>44</v>
      </c>
      <c r="H33" s="374"/>
      <c r="I33" s="375"/>
      <c r="J33" s="7"/>
      <c r="K33" s="7"/>
      <c r="L33" s="7"/>
      <c r="M33" s="7"/>
      <c r="N33" s="7"/>
      <c r="O33" s="7"/>
      <c r="P33" s="7"/>
      <c r="Q33" s="90"/>
    </row>
    <row r="34" spans="1:17" ht="15" customHeight="1" thickBot="1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90"/>
    </row>
    <row r="35" spans="1:17" ht="27.6" customHeight="1" thickBot="1">
      <c r="A35" s="22"/>
      <c r="B35" s="91"/>
      <c r="C35" s="23" t="s">
        <v>5</v>
      </c>
      <c r="D35" s="24" t="s">
        <v>6</v>
      </c>
      <c r="E35" s="24" t="s">
        <v>7</v>
      </c>
      <c r="F35" s="24" t="s">
        <v>8</v>
      </c>
      <c r="G35" s="24" t="s">
        <v>9</v>
      </c>
      <c r="H35" s="24" t="s">
        <v>10</v>
      </c>
      <c r="I35" s="24" t="s">
        <v>11</v>
      </c>
      <c r="J35" s="24" t="s">
        <v>12</v>
      </c>
      <c r="K35" s="24" t="s">
        <v>13</v>
      </c>
      <c r="L35" s="24" t="s">
        <v>14</v>
      </c>
      <c r="M35" s="24" t="s">
        <v>15</v>
      </c>
      <c r="N35" s="25" t="s">
        <v>16</v>
      </c>
      <c r="O35" s="92" t="s">
        <v>31</v>
      </c>
      <c r="P35" s="25" t="s">
        <v>32</v>
      </c>
      <c r="Q35" s="74"/>
    </row>
    <row r="36" spans="1:17" ht="14.4" customHeight="1">
      <c r="A36" s="22"/>
      <c r="B36" s="29">
        <v>2012</v>
      </c>
      <c r="C36" s="93">
        <v>3.1896710522575103E-2</v>
      </c>
      <c r="D36" s="94">
        <v>3.2413934120294099E-2</v>
      </c>
      <c r="E36" s="94">
        <v>3.3607408087325902E-2</v>
      </c>
      <c r="F36" s="94">
        <v>3.3929783768066601E-2</v>
      </c>
      <c r="G36" s="94">
        <v>3.3940805382325197E-2</v>
      </c>
      <c r="H36" s="94">
        <v>3.4065949697961097E-2</v>
      </c>
      <c r="I36" s="94">
        <v>3.3814886230777802E-2</v>
      </c>
      <c r="J36" s="94">
        <v>3.3507073100054699E-2</v>
      </c>
      <c r="K36" s="94">
        <v>3.3721845912676698E-2</v>
      </c>
      <c r="L36" s="94">
        <v>3.3212087648075803E-2</v>
      </c>
      <c r="M36" s="94">
        <v>3.2045628911168002E-2</v>
      </c>
      <c r="N36" s="95">
        <v>3.1532529342885002E-2</v>
      </c>
      <c r="O36" s="96">
        <v>3.3129478134138302E-2</v>
      </c>
      <c r="P36" s="97"/>
      <c r="Q36" s="98"/>
    </row>
    <row r="37" spans="1:17" ht="14.4" customHeight="1">
      <c r="A37" s="22"/>
      <c r="B37" s="36">
        <v>2013</v>
      </c>
      <c r="C37" s="99">
        <v>3.1817805835464098E-2</v>
      </c>
      <c r="D37" s="100">
        <v>3.2237581816493797E-2</v>
      </c>
      <c r="E37" s="100">
        <v>3.3988755904737898E-2</v>
      </c>
      <c r="F37" s="100">
        <v>3.4012864214348397E-2</v>
      </c>
      <c r="G37" s="100">
        <v>3.4018574280977203E-2</v>
      </c>
      <c r="H37" s="100">
        <v>3.3596662484537299E-2</v>
      </c>
      <c r="I37" s="100">
        <v>3.3145456727407603E-2</v>
      </c>
      <c r="J37" s="100">
        <v>3.3347583964237003E-2</v>
      </c>
      <c r="K37" s="100">
        <v>3.3873507991723298E-2</v>
      </c>
      <c r="L37" s="100">
        <v>3.3461955601897998E-2</v>
      </c>
      <c r="M37" s="100">
        <v>3.2778556061914897E-2</v>
      </c>
      <c r="N37" s="101">
        <v>3.1869098226162802E-2</v>
      </c>
      <c r="O37" s="102">
        <v>3.3186141896065703E-2</v>
      </c>
      <c r="P37" s="41">
        <f t="shared" ref="P37:P48" si="1">O37/O36-1</f>
        <v>1.7103729101308751E-3</v>
      </c>
      <c r="Q37" s="98"/>
    </row>
    <row r="38" spans="1:17" ht="14.4" customHeight="1">
      <c r="A38" s="22"/>
      <c r="B38" s="36">
        <v>2014</v>
      </c>
      <c r="C38" s="99">
        <v>3.2178454707549403E-2</v>
      </c>
      <c r="D38" s="100">
        <v>3.3013190500941501E-2</v>
      </c>
      <c r="E38" s="100">
        <v>3.4258242853312401E-2</v>
      </c>
      <c r="F38" s="100">
        <v>3.4452252850357599E-2</v>
      </c>
      <c r="G38" s="100">
        <v>3.4289889463488203E-2</v>
      </c>
      <c r="H38" s="100">
        <v>3.4056278547467601E-2</v>
      </c>
      <c r="I38" s="100">
        <v>3.3412053331902197E-2</v>
      </c>
      <c r="J38" s="100">
        <v>3.3692989130390198E-2</v>
      </c>
      <c r="K38" s="100">
        <v>3.3768217867544401E-2</v>
      </c>
      <c r="L38" s="100">
        <v>3.32999314683112E-2</v>
      </c>
      <c r="M38" s="100">
        <v>3.2806306043221302E-2</v>
      </c>
      <c r="N38" s="101">
        <v>3.2365486829582998E-2</v>
      </c>
      <c r="O38" s="102">
        <v>3.3429911193480502E-2</v>
      </c>
      <c r="P38" s="41">
        <f t="shared" si="1"/>
        <v>7.3455148289984784E-3</v>
      </c>
      <c r="Q38" s="98"/>
    </row>
    <row r="39" spans="1:17" ht="14.4" customHeight="1">
      <c r="A39" s="22"/>
      <c r="B39" s="200">
        <v>2015</v>
      </c>
      <c r="C39" s="99">
        <v>3.21745902418651E-2</v>
      </c>
      <c r="D39" s="100">
        <v>3.28156385667078E-2</v>
      </c>
      <c r="E39" s="100">
        <v>3.3700444937947001E-2</v>
      </c>
      <c r="F39" s="100">
        <v>3.3900097534119301E-2</v>
      </c>
      <c r="G39" s="100">
        <v>3.3720224136512697E-2</v>
      </c>
      <c r="H39" s="100">
        <v>3.3526755193131502E-2</v>
      </c>
      <c r="I39" s="100">
        <v>3.3216726661249599E-2</v>
      </c>
      <c r="J39" s="100">
        <v>3.3184814330953598E-2</v>
      </c>
      <c r="K39" s="100">
        <v>3.3996697621540603E-2</v>
      </c>
      <c r="L39" s="100">
        <v>3.40592490810969E-2</v>
      </c>
      <c r="M39" s="100">
        <v>3.3199123328767802E-2</v>
      </c>
      <c r="N39" s="101">
        <v>3.2364833243887801E-2</v>
      </c>
      <c r="O39" s="102">
        <v>3.32695641078311E-2</v>
      </c>
      <c r="P39" s="41">
        <f t="shared" si="1"/>
        <v>-4.79651545352211E-3</v>
      </c>
      <c r="Q39" s="98"/>
    </row>
    <row r="40" spans="1:17" ht="14.4" customHeight="1">
      <c r="A40" s="22"/>
      <c r="B40" s="200">
        <v>2016</v>
      </c>
      <c r="C40" s="99">
        <v>3.2158253909098898E-2</v>
      </c>
      <c r="D40" s="100">
        <v>3.2640208444033897E-2</v>
      </c>
      <c r="E40" s="100">
        <v>3.4235599122441798E-2</v>
      </c>
      <c r="F40" s="100">
        <v>3.3929730653260402E-2</v>
      </c>
      <c r="G40" s="100">
        <v>3.42315637730711E-2</v>
      </c>
      <c r="H40" s="100">
        <v>3.3909731198972302E-2</v>
      </c>
      <c r="I40" s="100">
        <v>3.3524259056451997E-2</v>
      </c>
      <c r="J40" s="100">
        <v>3.3243000000000002E-2</v>
      </c>
      <c r="K40" s="100">
        <v>3.3985497201385599E-2</v>
      </c>
      <c r="L40" s="100">
        <v>3.3333538231071602E-2</v>
      </c>
      <c r="M40" s="100">
        <v>3.2591569349782003E-2</v>
      </c>
      <c r="N40" s="101">
        <v>3.2611495727555902E-2</v>
      </c>
      <c r="O40" s="102">
        <v>3.3372327894592498E-2</v>
      </c>
      <c r="P40" s="41">
        <f t="shared" si="1"/>
        <v>3.0888227578915739E-3</v>
      </c>
      <c r="Q40" s="98"/>
    </row>
    <row r="41" spans="1:17" ht="14.4" customHeight="1">
      <c r="A41" s="22"/>
      <c r="B41" s="200">
        <v>2017</v>
      </c>
      <c r="C41" s="99">
        <v>3.2744991207778899E-2</v>
      </c>
      <c r="D41" s="100">
        <v>3.29952698234924E-2</v>
      </c>
      <c r="E41" s="100">
        <v>3.4068480371927203E-2</v>
      </c>
      <c r="F41" s="100">
        <v>3.44290938884955E-2</v>
      </c>
      <c r="G41" s="100">
        <v>3.4439999999999998E-2</v>
      </c>
      <c r="H41" s="100">
        <v>3.4555351969310602E-2</v>
      </c>
      <c r="I41" s="100">
        <v>3.38012924286622E-2</v>
      </c>
      <c r="J41" s="100">
        <v>3.3940999999999999E-2</v>
      </c>
      <c r="K41" s="100">
        <v>3.3155226351099298E-2</v>
      </c>
      <c r="L41" s="100">
        <v>3.3003554051710897E-2</v>
      </c>
      <c r="M41" s="100">
        <v>3.28799920472478E-2</v>
      </c>
      <c r="N41" s="101">
        <v>3.2233687302166802E-2</v>
      </c>
      <c r="O41" s="102">
        <v>3.3462946207739999E-2</v>
      </c>
      <c r="P41" s="41">
        <f t="shared" si="1"/>
        <v>2.7153728512354647E-3</v>
      </c>
      <c r="Q41" s="98"/>
    </row>
    <row r="42" spans="1:17" ht="14.4" customHeight="1">
      <c r="A42" s="22"/>
      <c r="B42" s="200">
        <v>2018</v>
      </c>
      <c r="C42" s="99">
        <v>3.2611701353265903E-2</v>
      </c>
      <c r="D42" s="100">
        <v>3.3042222222222202E-2</v>
      </c>
      <c r="E42" s="100">
        <v>3.4576382294931901E-2</v>
      </c>
      <c r="F42" s="100">
        <v>3.4065762359732403E-2</v>
      </c>
      <c r="G42" s="100">
        <v>3.4436135383380098E-2</v>
      </c>
      <c r="H42" s="100">
        <v>3.4687642988770001E-2</v>
      </c>
      <c r="I42" s="100">
        <v>3.41138207428648E-2</v>
      </c>
      <c r="J42" s="100">
        <v>3.4231236364171698E-2</v>
      </c>
      <c r="K42" s="100">
        <v>3.3860148714465098E-2</v>
      </c>
      <c r="L42" s="100">
        <v>3.3436937072315702E-2</v>
      </c>
      <c r="M42" s="100">
        <v>3.3184630792155001E-2</v>
      </c>
      <c r="N42" s="101">
        <v>3.3068492458646903E-2</v>
      </c>
      <c r="O42" s="102">
        <v>3.3745711650364198E-2</v>
      </c>
      <c r="P42" s="41">
        <f t="shared" si="1"/>
        <v>8.4501060028836505E-3</v>
      </c>
      <c r="Q42" s="98"/>
    </row>
    <row r="43" spans="1:17" ht="14.4" customHeight="1">
      <c r="A43" s="22"/>
      <c r="B43" s="200">
        <v>2019</v>
      </c>
      <c r="C43" s="99">
        <v>3.2965437326692E-2</v>
      </c>
      <c r="D43" s="100">
        <v>3.3694719982931998E-2</v>
      </c>
      <c r="E43" s="100">
        <v>3.4760915937600598E-2</v>
      </c>
      <c r="F43" s="100">
        <v>3.4320327672412498E-2</v>
      </c>
      <c r="G43" s="100">
        <v>3.4634386706094103E-2</v>
      </c>
      <c r="H43" s="100">
        <v>3.4341050045387497E-2</v>
      </c>
      <c r="I43" s="100">
        <v>3.43596193861435E-2</v>
      </c>
      <c r="J43" s="100">
        <v>3.4281371098329502E-2</v>
      </c>
      <c r="K43" s="100">
        <v>3.4896277305989598E-2</v>
      </c>
      <c r="L43" s="100">
        <v>3.4526407736010199E-2</v>
      </c>
      <c r="M43" s="100">
        <v>3.3417468015936098E-2</v>
      </c>
      <c r="N43" s="101">
        <v>3.26582548539723E-2</v>
      </c>
      <c r="O43" s="102">
        <v>3.3937037958735303E-2</v>
      </c>
      <c r="P43" s="41">
        <f t="shared" si="1"/>
        <v>5.6696480534599303E-3</v>
      </c>
      <c r="Q43" s="74"/>
    </row>
    <row r="44" spans="1:17" ht="14.4" customHeight="1">
      <c r="A44" s="22"/>
      <c r="B44" s="200">
        <v>2020</v>
      </c>
      <c r="C44" s="99">
        <v>3.32337826354775E-2</v>
      </c>
      <c r="D44" s="100">
        <v>3.39828078273261E-2</v>
      </c>
      <c r="E44" s="100">
        <v>3.4167390312466003E-2</v>
      </c>
      <c r="F44" s="100">
        <v>3.4629300273036297E-2</v>
      </c>
      <c r="G44" s="100">
        <v>3.5394208681701601E-2</v>
      </c>
      <c r="H44" s="100">
        <v>3.47430631026691E-2</v>
      </c>
      <c r="I44" s="100">
        <v>3.5099079330957503E-2</v>
      </c>
      <c r="J44" s="100">
        <v>3.5201811298529097E-2</v>
      </c>
      <c r="K44" s="100">
        <v>3.5190480420044398E-2</v>
      </c>
      <c r="L44" s="100">
        <v>3.4525237481464799E-2</v>
      </c>
      <c r="M44" s="100">
        <v>3.3525491942378603E-2</v>
      </c>
      <c r="N44" s="101">
        <v>3.33349360757604E-2</v>
      </c>
      <c r="O44" s="102">
        <v>3.4112160000000002E-2</v>
      </c>
      <c r="P44" s="41">
        <f t="shared" si="1"/>
        <v>5.1602040660601034E-3</v>
      </c>
      <c r="Q44" s="98"/>
    </row>
    <row r="45" spans="1:17" ht="14.4" customHeight="1">
      <c r="A45" s="22"/>
      <c r="B45" s="200">
        <v>2021</v>
      </c>
      <c r="C45" s="99">
        <v>3.3681551057796098E-2</v>
      </c>
      <c r="D45" s="100">
        <v>3.4587439972645601E-2</v>
      </c>
      <c r="E45" s="100">
        <v>3.49223495413978E-2</v>
      </c>
      <c r="F45" s="100">
        <v>3.46266814163321E-2</v>
      </c>
      <c r="G45" s="100">
        <v>3.49021393414626E-2</v>
      </c>
      <c r="H45" s="100">
        <v>3.45546631460662E-2</v>
      </c>
      <c r="I45" s="100">
        <v>3.4796756845776301E-2</v>
      </c>
      <c r="J45" s="100">
        <v>3.5414228595007501E-2</v>
      </c>
      <c r="K45" s="100">
        <v>3.4713550366990802E-2</v>
      </c>
      <c r="L45" s="100">
        <v>3.4308542682823198E-2</v>
      </c>
      <c r="M45" s="100">
        <v>3.3048522154016297E-2</v>
      </c>
      <c r="N45" s="101">
        <v>3.3612395124754099E-2</v>
      </c>
      <c r="O45" s="102">
        <v>3.4421799678948602E-2</v>
      </c>
      <c r="P45" s="41">
        <f t="shared" si="1"/>
        <v>9.0771056112717297E-3</v>
      </c>
      <c r="Q45" s="98"/>
    </row>
    <row r="46" spans="1:17" ht="14.4" customHeight="1">
      <c r="A46" s="22"/>
      <c r="B46" s="200">
        <v>2022</v>
      </c>
      <c r="C46" s="99">
        <v>3.3418516229625599E-2</v>
      </c>
      <c r="D46" s="100">
        <v>3.4741207477945797E-2</v>
      </c>
      <c r="E46" s="100">
        <v>3.5512662287271103E-2</v>
      </c>
      <c r="F46" s="100">
        <v>3.5568209777648997E-2</v>
      </c>
      <c r="G46" s="100">
        <v>3.5483721578447799E-2</v>
      </c>
      <c r="H46" s="100">
        <v>3.5299999999999998E-2</v>
      </c>
      <c r="I46" s="100">
        <v>3.4516785458536821E-2</v>
      </c>
      <c r="J46" s="100">
        <v>3.456229839247256E-2</v>
      </c>
      <c r="K46" s="100">
        <v>3.484669920874011E-2</v>
      </c>
      <c r="L46" s="100">
        <v>3.4230740736574776E-2</v>
      </c>
      <c r="M46" s="100">
        <v>3.353282923193044E-2</v>
      </c>
      <c r="N46" s="101">
        <v>3.3147505790751756E-2</v>
      </c>
      <c r="O46" s="102">
        <v>3.4518738144936487E-2</v>
      </c>
      <c r="P46" s="41">
        <f t="shared" si="1"/>
        <v>2.8161940076354419E-3</v>
      </c>
      <c r="Q46" s="98"/>
    </row>
    <row r="47" spans="1:17" ht="14.4" customHeight="1">
      <c r="A47" s="22"/>
      <c r="B47" s="200">
        <v>2023</v>
      </c>
      <c r="C47" s="99">
        <v>3.3854878561984929E-2</v>
      </c>
      <c r="D47" s="100">
        <v>3.4603604577321291E-2</v>
      </c>
      <c r="E47" s="100">
        <v>3.4908895718183959E-2</v>
      </c>
      <c r="F47" s="100">
        <v>3.5734123255110196E-2</v>
      </c>
      <c r="G47" s="100">
        <v>3.5570920829075259E-2</v>
      </c>
      <c r="H47" s="100">
        <v>3.5402974904770575E-2</v>
      </c>
      <c r="I47" s="100">
        <v>3.5283211258000054E-2</v>
      </c>
      <c r="J47" s="100">
        <v>3.5637915872836587E-2</v>
      </c>
      <c r="K47" s="100">
        <v>3.5896594530447648E-2</v>
      </c>
      <c r="L47" s="100">
        <v>3.5075274685827135E-2</v>
      </c>
      <c r="M47" s="100">
        <v>3.4547912831612973E-2</v>
      </c>
      <c r="N47" s="101">
        <v>3.3991968749184961E-2</v>
      </c>
      <c r="O47" s="102">
        <v>3.5071553871784934E-2</v>
      </c>
      <c r="P47" s="41">
        <f t="shared" si="1"/>
        <v>1.6014945984621276E-2</v>
      </c>
      <c r="Q47" s="98"/>
    </row>
    <row r="48" spans="1:17" ht="15" customHeight="1">
      <c r="A48" s="22"/>
      <c r="B48" s="200">
        <v>2024</v>
      </c>
      <c r="C48" s="99">
        <v>3.4232338478782175E-2</v>
      </c>
      <c r="D48" s="100">
        <v>3.4866254381940347E-2</v>
      </c>
      <c r="E48" s="100">
        <v>3.6245651001891595E-2</v>
      </c>
      <c r="F48" s="100">
        <v>3.6383641863319723E-2</v>
      </c>
      <c r="G48" s="100">
        <v>3.6336935266778052E-2</v>
      </c>
      <c r="H48" s="100">
        <v>3.6280527436353432E-2</v>
      </c>
      <c r="I48" s="100">
        <v>3.5663429757588849E-2</v>
      </c>
      <c r="J48" s="100">
        <v>3.5451462926719302E-2</v>
      </c>
      <c r="K48" s="100">
        <v>3.5383431538519902E-2</v>
      </c>
      <c r="L48" s="100">
        <v>3.4799365700196851E-2</v>
      </c>
      <c r="M48" s="100">
        <v>3.4179323235812006E-2</v>
      </c>
      <c r="N48" s="101">
        <v>3.4887538668535875E-2</v>
      </c>
      <c r="O48" s="102">
        <v>3.53357484372991E-2</v>
      </c>
      <c r="P48" s="41">
        <f t="shared" si="1"/>
        <v>7.5330156878710142E-3</v>
      </c>
      <c r="Q48" s="74"/>
    </row>
    <row r="49" spans="1:17" ht="15" customHeight="1">
      <c r="A49" s="6"/>
      <c r="B49" s="200">
        <v>2025</v>
      </c>
      <c r="C49" s="99">
        <v>3.5085168773639756E-2</v>
      </c>
      <c r="D49" s="100">
        <v>3.5620325139941712E-2</v>
      </c>
      <c r="E49" s="100">
        <v>3.6430504890503493E-2</v>
      </c>
      <c r="F49" s="100">
        <v>3.7045818579167521E-2</v>
      </c>
      <c r="G49" s="100">
        <v>3.6300786139431433E-2</v>
      </c>
      <c r="H49" s="100">
        <v>3.6542690432764632E-2</v>
      </c>
      <c r="I49" s="100">
        <v>3.5995425867665826E-2</v>
      </c>
      <c r="J49" s="100">
        <v>3.5939411400485163E-2</v>
      </c>
      <c r="K49" s="100">
        <v>3.5954927886757138E-2</v>
      </c>
      <c r="L49" s="100">
        <v>3.5462052252551224E-2</v>
      </c>
      <c r="M49" s="100">
        <v>3.5059630436523832E-2</v>
      </c>
      <c r="N49" s="101">
        <v>3.4674430502197214E-2</v>
      </c>
      <c r="O49" s="102">
        <v>3.5800318644363366E-2</v>
      </c>
      <c r="P49" s="41">
        <f>O49/O48-1</f>
        <v>1.3147314762233409E-2</v>
      </c>
      <c r="Q49" s="90"/>
    </row>
    <row r="50" spans="1:17" ht="15" customHeight="1" thickBot="1">
      <c r="A50" s="6"/>
      <c r="B50" s="201">
        <v>2026</v>
      </c>
      <c r="C50" s="103">
        <v>3.516845399119628E-2</v>
      </c>
      <c r="D50" s="104">
        <v>3.6135043709131683E-2</v>
      </c>
      <c r="E50" s="104">
        <v>3.6753182245234967E-2</v>
      </c>
      <c r="F50" s="104">
        <v>3.6266723938049715E-2</v>
      </c>
      <c r="G50" s="104">
        <v>3.7436375997092319E-2</v>
      </c>
      <c r="H50" s="104">
        <v>3.6966638448907747E-2</v>
      </c>
      <c r="I50" s="104">
        <v>3.6481081617249909E-2</v>
      </c>
      <c r="J50" s="104">
        <v>3.6184912999646879E-2</v>
      </c>
      <c r="K50" s="104">
        <v>3.6590142813031606E-2</v>
      </c>
      <c r="L50" s="104"/>
      <c r="M50" s="104"/>
      <c r="N50" s="105"/>
      <c r="O50" s="106"/>
      <c r="P50" s="48"/>
      <c r="Q50" s="90"/>
    </row>
    <row r="51" spans="1:17" ht="14.4" customHeight="1">
      <c r="A51" s="6"/>
      <c r="B51" s="82" t="s">
        <v>42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111"/>
      <c r="N51" s="31"/>
      <c r="O51" s="211"/>
      <c r="P51" s="107"/>
      <c r="Q51" s="108"/>
    </row>
    <row r="52" spans="1:17" ht="14.4" customHeight="1">
      <c r="A52" s="6"/>
      <c r="B52" s="14" t="s">
        <v>43</v>
      </c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76"/>
      <c r="N52" s="38"/>
      <c r="O52" s="279"/>
      <c r="P52" s="279"/>
      <c r="Q52" s="108"/>
    </row>
    <row r="53" spans="1:17" ht="14.4" customHeight="1">
      <c r="A53" s="6"/>
      <c r="B53" s="7"/>
      <c r="C53" s="7"/>
      <c r="D53" s="7"/>
      <c r="E53" s="11"/>
      <c r="F53" s="11"/>
      <c r="G53" s="11"/>
      <c r="H53" s="11"/>
      <c r="I53" s="11"/>
      <c r="J53" s="7"/>
      <c r="K53" s="7"/>
      <c r="L53" s="7"/>
      <c r="M53" s="76"/>
      <c r="N53" s="7"/>
      <c r="O53" s="7"/>
      <c r="P53" s="7"/>
      <c r="Q53" s="90"/>
    </row>
    <row r="54" spans="1:17" ht="14.4" customHeight="1">
      <c r="A54" s="6"/>
      <c r="B54" s="7"/>
      <c r="C54" s="7"/>
      <c r="D54" s="7"/>
      <c r="E54" s="69"/>
      <c r="F54" s="376" t="s">
        <v>45</v>
      </c>
      <c r="G54" s="377"/>
      <c r="H54" s="377"/>
      <c r="I54" s="377"/>
      <c r="J54" s="377"/>
      <c r="K54" s="7"/>
      <c r="L54" s="7"/>
      <c r="M54" s="7"/>
      <c r="N54" s="7"/>
      <c r="O54" s="7"/>
      <c r="P54" s="7"/>
      <c r="Q54" s="90"/>
    </row>
    <row r="55" spans="1:17" ht="15" customHeight="1" thickBot="1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12"/>
    </row>
    <row r="56" spans="1:17" ht="15" customHeight="1" thickBot="1">
      <c r="A56" s="22"/>
      <c r="B56" s="91"/>
      <c r="C56" s="23" t="s">
        <v>5</v>
      </c>
      <c r="D56" s="24" t="s">
        <v>6</v>
      </c>
      <c r="E56" s="24" t="s">
        <v>7</v>
      </c>
      <c r="F56" s="24" t="s">
        <v>8</v>
      </c>
      <c r="G56" s="24" t="s">
        <v>9</v>
      </c>
      <c r="H56" s="24" t="s">
        <v>10</v>
      </c>
      <c r="I56" s="24" t="s">
        <v>11</v>
      </c>
      <c r="J56" s="24" t="s">
        <v>12</v>
      </c>
      <c r="K56" s="24" t="s">
        <v>13</v>
      </c>
      <c r="L56" s="24" t="s">
        <v>14</v>
      </c>
      <c r="M56" s="24" t="s">
        <v>15</v>
      </c>
      <c r="N56" s="25" t="s">
        <v>16</v>
      </c>
      <c r="O56" s="92" t="s">
        <v>46</v>
      </c>
      <c r="P56" s="25" t="s">
        <v>32</v>
      </c>
      <c r="Q56" s="74"/>
    </row>
    <row r="57" spans="1:17" ht="14.4" customHeight="1">
      <c r="A57" s="22"/>
      <c r="B57" s="29">
        <v>2012</v>
      </c>
      <c r="C57" s="113">
        <v>116.746576647078</v>
      </c>
      <c r="D57" s="114">
        <v>108.47822352946901</v>
      </c>
      <c r="E57" s="114">
        <v>108.466086400487</v>
      </c>
      <c r="F57" s="114">
        <v>109.226572494511</v>
      </c>
      <c r="G57" s="114">
        <v>108.127562794995</v>
      </c>
      <c r="H57" s="114">
        <v>107.174932968142</v>
      </c>
      <c r="I57" s="114">
        <v>106.33398667386</v>
      </c>
      <c r="J57" s="114">
        <v>99.276291034768207</v>
      </c>
      <c r="K57" s="114">
        <v>99.967837020102607</v>
      </c>
      <c r="L57" s="114">
        <v>99.504875999069</v>
      </c>
      <c r="M57" s="114">
        <v>100.56988140611401</v>
      </c>
      <c r="N57" s="115">
        <v>100.93976488730399</v>
      </c>
      <c r="O57" s="116">
        <v>105.09272612707034</v>
      </c>
      <c r="P57" s="97"/>
      <c r="Q57" s="74"/>
    </row>
    <row r="58" spans="1:17" ht="14.4" customHeight="1">
      <c r="A58" s="22"/>
      <c r="B58" s="36">
        <v>2013</v>
      </c>
      <c r="C58" s="117">
        <v>103.77864485362799</v>
      </c>
      <c r="D58" s="118">
        <v>106.26457175897001</v>
      </c>
      <c r="E58" s="118">
        <v>108.152665976199</v>
      </c>
      <c r="F58" s="118">
        <v>113.12487546488801</v>
      </c>
      <c r="G58" s="118">
        <v>115.163805539422</v>
      </c>
      <c r="H58" s="118">
        <v>114.73683064783199</v>
      </c>
      <c r="I58" s="118">
        <v>114.641574220715</v>
      </c>
      <c r="J58" s="118">
        <v>118.935479806757</v>
      </c>
      <c r="K58" s="118">
        <v>123.931477641445</v>
      </c>
      <c r="L58" s="118">
        <v>131.902045796257</v>
      </c>
      <c r="M58" s="118">
        <v>134.33644252985999</v>
      </c>
      <c r="N58" s="119">
        <v>133.848757232949</v>
      </c>
      <c r="O58" s="120">
        <v>119.49968747669293</v>
      </c>
      <c r="P58" s="41">
        <f t="shared" ref="P58:P70" si="2">O58/O57-1</f>
        <v>0.13708809239759145</v>
      </c>
      <c r="Q58" s="74"/>
    </row>
    <row r="59" spans="1:17" ht="14.4" customHeight="1">
      <c r="A59" s="22"/>
      <c r="B59" s="36">
        <v>2014</v>
      </c>
      <c r="C59" s="117">
        <v>137.99039366468099</v>
      </c>
      <c r="D59" s="118">
        <v>137.87545205475399</v>
      </c>
      <c r="E59" s="118">
        <v>139.73194436979301</v>
      </c>
      <c r="F59" s="118">
        <v>139.85388703259099</v>
      </c>
      <c r="G59" s="118">
        <v>141.06184988906401</v>
      </c>
      <c r="H59" s="118">
        <v>140.83423613974401</v>
      </c>
      <c r="I59" s="118">
        <v>139.564238764495</v>
      </c>
      <c r="J59" s="118">
        <v>134.35724839288801</v>
      </c>
      <c r="K59" s="118">
        <v>133.68125403770799</v>
      </c>
      <c r="L59" s="118">
        <v>128.78022669864399</v>
      </c>
      <c r="M59" s="118">
        <v>127.57874342273701</v>
      </c>
      <c r="N59" s="119">
        <v>127.101192233801</v>
      </c>
      <c r="O59" s="120">
        <v>135.18990733408958</v>
      </c>
      <c r="P59" s="41">
        <f t="shared" si="2"/>
        <v>0.13129925432195666</v>
      </c>
      <c r="Q59" s="74"/>
    </row>
    <row r="60" spans="1:17" ht="14.4" customHeight="1">
      <c r="A60" s="22"/>
      <c r="B60" s="200">
        <v>2015</v>
      </c>
      <c r="C60" s="117">
        <v>126.234998333178</v>
      </c>
      <c r="D60" s="118">
        <v>126.251798078794</v>
      </c>
      <c r="E60" s="118">
        <v>122.56525274408</v>
      </c>
      <c r="F60" s="118">
        <v>118.95769752819901</v>
      </c>
      <c r="G60" s="118">
        <v>114.362887712649</v>
      </c>
      <c r="H60" s="118">
        <v>106.421536711204</v>
      </c>
      <c r="I60" s="118">
        <v>104.17479390267501</v>
      </c>
      <c r="J60" s="118">
        <v>103.64284158074599</v>
      </c>
      <c r="K60" s="118">
        <v>104.75918706377399</v>
      </c>
      <c r="L60" s="118">
        <v>104.98864743192</v>
      </c>
      <c r="M60" s="118">
        <v>104.736702727229</v>
      </c>
      <c r="N60" s="119">
        <v>106.158591327408</v>
      </c>
      <c r="O60" s="120">
        <v>111.09824309878037</v>
      </c>
      <c r="P60" s="41">
        <f t="shared" si="2"/>
        <v>-0.1782060858712804</v>
      </c>
      <c r="Q60" s="74"/>
    </row>
    <row r="61" spans="1:17" ht="14.4" customHeight="1">
      <c r="A61" s="22"/>
      <c r="B61" s="200">
        <v>2016</v>
      </c>
      <c r="C61" s="117">
        <v>103.082139251832</v>
      </c>
      <c r="D61" s="118">
        <v>103.54875440107401</v>
      </c>
      <c r="E61" s="118">
        <v>103.77644725181401</v>
      </c>
      <c r="F61" s="118">
        <v>103.72498413471</v>
      </c>
      <c r="G61" s="121">
        <v>114.193159477457</v>
      </c>
      <c r="H61" s="121">
        <v>114.71014648980599</v>
      </c>
      <c r="I61" s="121">
        <v>117.815391150023</v>
      </c>
      <c r="J61" s="121">
        <v>121.263944487445</v>
      </c>
      <c r="K61" s="121">
        <v>119.280461837991</v>
      </c>
      <c r="L61" s="118">
        <v>124.32318632430901</v>
      </c>
      <c r="M61" s="118">
        <v>126.449874628074</v>
      </c>
      <c r="N61" s="119">
        <v>126.984560617287</v>
      </c>
      <c r="O61" s="120">
        <v>115.96681026921624</v>
      </c>
      <c r="P61" s="41">
        <f t="shared" si="2"/>
        <v>4.3822179673058237E-2</v>
      </c>
      <c r="Q61" s="74"/>
    </row>
    <row r="62" spans="1:17" ht="14.4" customHeight="1">
      <c r="A62" s="22"/>
      <c r="B62" s="200">
        <v>2017</v>
      </c>
      <c r="C62" s="117">
        <v>125.51491272697901</v>
      </c>
      <c r="D62" s="118">
        <v>130.04479604923301</v>
      </c>
      <c r="E62" s="118">
        <v>131.78788091828201</v>
      </c>
      <c r="F62" s="118">
        <v>132.64660437787299</v>
      </c>
      <c r="G62" s="118">
        <v>134.17685059781499</v>
      </c>
      <c r="H62" s="118">
        <v>134.47735016772901</v>
      </c>
      <c r="I62" s="118">
        <v>133.962180025957</v>
      </c>
      <c r="J62" s="121">
        <v>136.17047580855399</v>
      </c>
      <c r="K62" s="121">
        <v>134.62693788195099</v>
      </c>
      <c r="L62" s="121">
        <v>135.52099941310601</v>
      </c>
      <c r="M62" s="121">
        <v>136.49021054262101</v>
      </c>
      <c r="N62" s="44">
        <v>134.70101577659301</v>
      </c>
      <c r="O62" s="120">
        <v>133.61643564317424</v>
      </c>
      <c r="P62" s="41">
        <f t="shared" si="2"/>
        <v>0.1521954888039474</v>
      </c>
      <c r="Q62" s="74"/>
    </row>
    <row r="63" spans="1:17" ht="14.4" customHeight="1">
      <c r="A63" s="22"/>
      <c r="B63" s="200">
        <v>2018</v>
      </c>
      <c r="C63" s="122">
        <v>134.178132266684</v>
      </c>
      <c r="D63" s="121">
        <v>134.657581710611</v>
      </c>
      <c r="E63" s="121">
        <v>134.838484470716</v>
      </c>
      <c r="F63" s="121">
        <v>134.559910433715</v>
      </c>
      <c r="G63" s="121">
        <v>137.55219428469201</v>
      </c>
      <c r="H63" s="121">
        <v>138.33439330685201</v>
      </c>
      <c r="I63" s="121">
        <v>137.797547277386</v>
      </c>
      <c r="J63" s="118">
        <v>134.043314204339</v>
      </c>
      <c r="K63" s="118">
        <v>133.90107575073699</v>
      </c>
      <c r="L63" s="118">
        <v>134.068542096832</v>
      </c>
      <c r="M63" s="118">
        <v>130.98724895935101</v>
      </c>
      <c r="N63" s="39">
        <v>130.73793845807199</v>
      </c>
      <c r="O63" s="120">
        <v>134.57602234524015</v>
      </c>
      <c r="P63" s="41">
        <f t="shared" si="2"/>
        <v>7.1816516991105583E-3</v>
      </c>
      <c r="Q63" s="74"/>
    </row>
    <row r="64" spans="1:17" ht="14.4" customHeight="1">
      <c r="A64" s="22"/>
      <c r="B64" s="200">
        <v>2019</v>
      </c>
      <c r="C64" s="117">
        <v>129.58899345402401</v>
      </c>
      <c r="D64" s="121">
        <v>130.30810458523101</v>
      </c>
      <c r="E64" s="121">
        <v>132.88740742750099</v>
      </c>
      <c r="F64" s="121">
        <v>139.268495700183</v>
      </c>
      <c r="G64" s="121">
        <v>138.60987542033899</v>
      </c>
      <c r="H64" s="121">
        <v>145.80767163047</v>
      </c>
      <c r="I64" s="121">
        <v>144.20448100232801</v>
      </c>
      <c r="J64" s="121">
        <v>149.29933838122199</v>
      </c>
      <c r="K64" s="121">
        <v>151.116252210167</v>
      </c>
      <c r="L64" s="121">
        <v>153.021054038709</v>
      </c>
      <c r="M64" s="121">
        <v>156.30197235769799</v>
      </c>
      <c r="N64" s="44">
        <v>161.84692646805399</v>
      </c>
      <c r="O64" s="120">
        <v>145.53443725307335</v>
      </c>
      <c r="P64" s="41">
        <f t="shared" si="2"/>
        <v>8.1429178221069654E-2</v>
      </c>
      <c r="Q64" s="74"/>
    </row>
    <row r="65" spans="1:17" ht="14.4" customHeight="1">
      <c r="A65" s="22"/>
      <c r="B65" s="200">
        <v>2020</v>
      </c>
      <c r="C65" s="122">
        <v>165.66273618239001</v>
      </c>
      <c r="D65" s="121">
        <v>166.26259281404799</v>
      </c>
      <c r="E65" s="121">
        <v>161.699726274178</v>
      </c>
      <c r="F65" s="121">
        <v>162.62956570415901</v>
      </c>
      <c r="G65" s="121">
        <v>162.99389000929099</v>
      </c>
      <c r="H65" s="118">
        <v>162.098011310652</v>
      </c>
      <c r="I65" s="118">
        <v>163.52635215402401</v>
      </c>
      <c r="J65" s="121">
        <v>165.81261271560501</v>
      </c>
      <c r="K65" s="121">
        <v>171.581899471242</v>
      </c>
      <c r="L65" s="121">
        <v>173.43972730166499</v>
      </c>
      <c r="M65" s="121">
        <v>178.63599345851301</v>
      </c>
      <c r="N65" s="44">
        <v>178.53092554520799</v>
      </c>
      <c r="O65" s="120">
        <v>168.26368149483511</v>
      </c>
      <c r="P65" s="41">
        <f t="shared" si="2"/>
        <v>0.15617777256552223</v>
      </c>
      <c r="Q65" s="74"/>
    </row>
    <row r="66" spans="1:17" ht="14.4" customHeight="1">
      <c r="A66" s="22"/>
      <c r="B66" s="200">
        <v>2021</v>
      </c>
      <c r="C66" s="122">
        <v>183.833775572837</v>
      </c>
      <c r="D66" s="121">
        <v>184.666990845378</v>
      </c>
      <c r="E66" s="121">
        <v>184.39559919622201</v>
      </c>
      <c r="F66" s="121">
        <v>196.076387564046</v>
      </c>
      <c r="G66" s="121">
        <v>202.12649373862399</v>
      </c>
      <c r="H66" s="121">
        <v>202.21670262025</v>
      </c>
      <c r="I66" s="121">
        <v>208.19042521461901</v>
      </c>
      <c r="J66" s="121">
        <v>208.587756030572</v>
      </c>
      <c r="K66" s="121">
        <v>208.269377189377</v>
      </c>
      <c r="L66" s="121">
        <v>204.39313692524399</v>
      </c>
      <c r="M66" s="121">
        <v>214.95631437532299</v>
      </c>
      <c r="N66" s="44">
        <v>217.01980907697401</v>
      </c>
      <c r="O66" s="120">
        <v>202.39368207160524</v>
      </c>
      <c r="P66" s="41">
        <f t="shared" si="2"/>
        <v>0.20283640696294736</v>
      </c>
      <c r="Q66" s="74"/>
    </row>
    <row r="67" spans="1:17" ht="15" customHeight="1">
      <c r="A67" s="22"/>
      <c r="B67" s="200">
        <v>2022</v>
      </c>
      <c r="C67" s="214">
        <v>216.79001571220013</v>
      </c>
      <c r="D67" s="215">
        <v>226.64554870050804</v>
      </c>
      <c r="E67" s="215">
        <v>227.73955313582309</v>
      </c>
      <c r="F67" s="215">
        <v>228.97282719467069</v>
      </c>
      <c r="G67" s="215">
        <v>228.72738590015763</v>
      </c>
      <c r="H67" s="215">
        <v>229.29570876269608</v>
      </c>
      <c r="I67" s="215">
        <v>229.39098853820036</v>
      </c>
      <c r="J67" s="215">
        <v>231.69824956367975</v>
      </c>
      <c r="K67" s="215">
        <v>228.49945637391272</v>
      </c>
      <c r="L67" s="215">
        <v>225.54470244442234</v>
      </c>
      <c r="M67" s="215">
        <v>223.700789758989</v>
      </c>
      <c r="N67" s="215">
        <v>223.57928029039209</v>
      </c>
      <c r="O67" s="120">
        <v>226.80714757233707</v>
      </c>
      <c r="P67" s="41">
        <f t="shared" si="2"/>
        <v>0.12062365411235776</v>
      </c>
      <c r="Q67" s="74"/>
    </row>
    <row r="68" spans="1:17" ht="15" customHeight="1">
      <c r="A68" s="22"/>
      <c r="B68" s="200">
        <v>2023</v>
      </c>
      <c r="C68" s="214">
        <v>223.61667427022641</v>
      </c>
      <c r="D68" s="215">
        <v>223.37743094456781</v>
      </c>
      <c r="E68" s="215">
        <v>223.45035527890556</v>
      </c>
      <c r="F68" s="215">
        <v>224.60841374117575</v>
      </c>
      <c r="G68" s="215">
        <v>225.16529116667317</v>
      </c>
      <c r="H68" s="215">
        <v>225.56252032653003</v>
      </c>
      <c r="I68" s="121">
        <v>225.41557860431038</v>
      </c>
      <c r="J68" s="121">
        <v>188.10478186531319</v>
      </c>
      <c r="K68" s="121">
        <v>185.91320301893305</v>
      </c>
      <c r="L68" s="121">
        <v>190.76195070245981</v>
      </c>
      <c r="M68" s="121">
        <v>192.128050061945</v>
      </c>
      <c r="N68" s="215">
        <v>188.9257810669904</v>
      </c>
      <c r="O68" s="120">
        <v>207.68821054046271</v>
      </c>
      <c r="P68" s="41">
        <f t="shared" si="2"/>
        <v>-8.4296007584049537E-2</v>
      </c>
      <c r="Q68" s="74"/>
    </row>
    <row r="69" spans="1:17" ht="15" customHeight="1">
      <c r="A69" s="22"/>
      <c r="B69" s="200">
        <v>2024</v>
      </c>
      <c r="C69" s="214">
        <v>188.99783012638693</v>
      </c>
      <c r="D69" s="274">
        <v>202.43435772782627</v>
      </c>
      <c r="E69" s="274">
        <v>203.58112786505814</v>
      </c>
      <c r="F69" s="274">
        <v>202.87944312331973</v>
      </c>
      <c r="G69" s="274">
        <v>202.8757525198271</v>
      </c>
      <c r="H69" s="215">
        <v>191.54099993368212</v>
      </c>
      <c r="I69" s="274">
        <v>209.03367671618076</v>
      </c>
      <c r="J69" s="274">
        <v>213.74334557958286</v>
      </c>
      <c r="K69" s="274">
        <v>218.25468366539627</v>
      </c>
      <c r="L69" s="274">
        <v>218.56370839909147</v>
      </c>
      <c r="M69" s="275">
        <v>224.83589204845512</v>
      </c>
      <c r="N69" s="275">
        <v>229.15116509350361</v>
      </c>
      <c r="O69" s="120">
        <v>208.70005270692596</v>
      </c>
      <c r="P69" s="41">
        <f t="shared" si="2"/>
        <v>4.8719287620138108E-3</v>
      </c>
      <c r="Q69" s="271"/>
    </row>
    <row r="70" spans="1:17" ht="15" customHeight="1">
      <c r="A70" s="6"/>
      <c r="B70" s="200">
        <v>2025</v>
      </c>
      <c r="C70" s="332">
        <v>238.3837448020885</v>
      </c>
      <c r="D70" s="274">
        <v>231.72176237886342</v>
      </c>
      <c r="E70" s="274">
        <v>231.06207245224908</v>
      </c>
      <c r="F70" s="274">
        <v>225.00309556818544</v>
      </c>
      <c r="G70" s="274">
        <v>224.90133970231548</v>
      </c>
      <c r="H70" s="215">
        <v>223.81626618915374</v>
      </c>
      <c r="I70" s="215">
        <v>224.69512605530818</v>
      </c>
      <c r="J70" s="215">
        <v>225.53049683764399</v>
      </c>
      <c r="K70" s="215">
        <v>224.91218017666156</v>
      </c>
      <c r="L70" s="215">
        <v>222.46497843481507</v>
      </c>
      <c r="M70" s="215">
        <v>221.86049150412978</v>
      </c>
      <c r="N70" s="215">
        <v>220.00712402637166</v>
      </c>
      <c r="O70" s="120">
        <v>225.78132986254749</v>
      </c>
      <c r="P70" s="41">
        <f t="shared" si="2"/>
        <v>8.1846060573872892E-2</v>
      </c>
      <c r="Q70" s="90"/>
    </row>
    <row r="71" spans="1:17" ht="15" customHeight="1" thickBot="1">
      <c r="A71" s="6"/>
      <c r="B71" s="201">
        <v>2026</v>
      </c>
      <c r="C71" s="202">
        <v>207.20567382346613</v>
      </c>
      <c r="D71" s="202">
        <v>206.8481327096693</v>
      </c>
      <c r="E71" s="202">
        <v>206.82416724265303</v>
      </c>
      <c r="F71" s="202">
        <v>206.50262337867446</v>
      </c>
      <c r="G71" s="202">
        <v>208.59964039746853</v>
      </c>
      <c r="H71" s="202">
        <v>209.26184801947795</v>
      </c>
      <c r="I71" s="348">
        <v>209.22304998318677</v>
      </c>
      <c r="J71" s="348">
        <v>208.72816338351055</v>
      </c>
      <c r="K71" s="348">
        <v>210.34347143050678</v>
      </c>
      <c r="L71" s="202"/>
      <c r="M71" s="202"/>
      <c r="N71" s="202"/>
      <c r="O71" s="123"/>
      <c r="P71" s="48"/>
      <c r="Q71" s="90"/>
    </row>
    <row r="72" spans="1:17" ht="14.4" customHeight="1">
      <c r="A72" s="6"/>
      <c r="B72" s="82" t="s">
        <v>42</v>
      </c>
      <c r="C72" s="31"/>
      <c r="D72" s="31"/>
      <c r="E72" s="31"/>
      <c r="F72" s="31"/>
      <c r="G72" s="31"/>
      <c r="H72" s="7"/>
      <c r="I72" s="50"/>
      <c r="J72" s="50"/>
      <c r="K72" s="50"/>
      <c r="L72" s="265"/>
      <c r="M72" s="265"/>
      <c r="N72" s="266"/>
      <c r="O72" s="211"/>
      <c r="P72" s="107"/>
      <c r="Q72" s="108"/>
    </row>
    <row r="73" spans="1:17" ht="14.4" customHeight="1">
      <c r="A73" s="6"/>
      <c r="B73" s="14"/>
      <c r="C73" s="38"/>
      <c r="D73" s="38"/>
      <c r="E73" s="38"/>
      <c r="F73" s="38"/>
      <c r="G73" s="38"/>
      <c r="H73" s="7"/>
      <c r="I73" s="7"/>
      <c r="J73" s="7"/>
      <c r="K73" s="7"/>
      <c r="L73" s="7"/>
      <c r="M73" s="7"/>
      <c r="N73" s="38"/>
      <c r="O73" s="262"/>
      <c r="P73" s="110"/>
      <c r="Q73" s="108"/>
    </row>
    <row r="74" spans="1:17" ht="14.4" customHeight="1">
      <c r="A74" s="6"/>
      <c r="B74" s="58" t="s">
        <v>21</v>
      </c>
      <c r="C74" s="15"/>
      <c r="D74" s="15"/>
      <c r="E74" s="15"/>
      <c r="F74" s="15"/>
      <c r="G74" s="15"/>
      <c r="H74" s="15"/>
      <c r="I74" s="7"/>
      <c r="J74" s="7"/>
      <c r="K74" s="7"/>
      <c r="L74" s="7"/>
      <c r="M74" s="7"/>
      <c r="N74" s="7"/>
      <c r="O74" s="7"/>
      <c r="P74" s="7"/>
      <c r="Q74" s="90"/>
    </row>
    <row r="75" spans="1:17" ht="16.5" customHeight="1">
      <c r="A75" s="49"/>
      <c r="B75" s="124"/>
      <c r="C75" s="63" t="s">
        <v>22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90"/>
    </row>
    <row r="76" spans="1:17" ht="14.4" customHeight="1">
      <c r="A76" s="49"/>
      <c r="B76" s="62"/>
      <c r="C76" s="63" t="s">
        <v>23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112"/>
    </row>
    <row r="77" spans="1:17" ht="14.4" customHeight="1">
      <c r="A77" s="49"/>
      <c r="B77" s="125"/>
      <c r="C77" s="63" t="s">
        <v>24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90"/>
    </row>
    <row r="78" spans="1:17" ht="14.4" customHeight="1">
      <c r="A78" s="6"/>
      <c r="B78" s="83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90"/>
    </row>
    <row r="79" spans="1:17" ht="14.4" customHeight="1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90"/>
    </row>
    <row r="80" spans="1:17" ht="14.4" customHeight="1">
      <c r="A80" s="85"/>
      <c r="B80" s="86"/>
      <c r="C80" s="127"/>
      <c r="D80" s="127"/>
      <c r="E80" s="127"/>
      <c r="F80" s="128"/>
      <c r="G80" s="128"/>
      <c r="H80" s="128"/>
      <c r="I80" s="128"/>
      <c r="J80" s="128"/>
      <c r="K80" s="128"/>
      <c r="L80" s="127"/>
      <c r="M80" s="86"/>
      <c r="N80" s="86"/>
      <c r="O80" s="86"/>
      <c r="P80" s="86"/>
      <c r="Q80" s="129"/>
    </row>
  </sheetData>
  <mergeCells count="4">
    <mergeCell ref="F10:J10"/>
    <mergeCell ref="G12:I12"/>
    <mergeCell ref="G33:I33"/>
    <mergeCell ref="F54:J54"/>
  </mergeCells>
  <phoneticPr fontId="40" type="noConversion"/>
  <hyperlinks>
    <hyperlink ref="L10" location="'Listado Datos'!R1C1" display="Acceder al listado de datos" xr:uid="{00000000-0004-0000-0100-000000000000}"/>
  </hyperlinks>
  <pageMargins left="0" right="0" top="0" bottom="0" header="0" footer="0"/>
  <pageSetup orientation="landscape"/>
  <headerFooter>
    <oddFooter>&amp;C&amp;"Helvetica Neue,Regular"&amp;12&amp;K000000&amp;P</oddFooter>
  </headerFooter>
  <ignoredErrors>
    <ignoredError sqref="B18:B26" numberStoredAsText="1"/>
  </ignoredErrors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26"/>
  <sheetViews>
    <sheetView showGridLines="0" zoomScale="80" zoomScaleNormal="80" workbookViewId="0">
      <pane xSplit="2" ySplit="7" topLeftCell="C295" activePane="bottomRight" state="frozen"/>
      <selection pane="topRight" activeCell="C1" sqref="C1"/>
      <selection pane="bottomLeft" activeCell="A8" sqref="A8"/>
      <selection pane="bottomRight" activeCell="C304" sqref="C304:H304"/>
    </sheetView>
  </sheetViews>
  <sheetFormatPr baseColWidth="10" defaultColWidth="11.44140625" defaultRowHeight="14.4" customHeight="1"/>
  <cols>
    <col min="1" max="1" width="6.88671875" style="1" customWidth="1"/>
    <col min="2" max="2" width="14" style="1" customWidth="1"/>
    <col min="3" max="3" width="32.88671875" style="1" customWidth="1"/>
    <col min="4" max="4" width="22.33203125" style="1" customWidth="1"/>
    <col min="5" max="5" width="22.88671875" style="1" customWidth="1"/>
    <col min="6" max="6" width="20" style="1" customWidth="1"/>
    <col min="7" max="7" width="20.88671875" style="1" customWidth="1"/>
    <col min="8" max="10" width="16.6640625" style="1" customWidth="1"/>
    <col min="11" max="11" width="18.6640625" style="1" customWidth="1"/>
    <col min="12" max="12" width="102" style="1" customWidth="1"/>
    <col min="13" max="19" width="11.44140625" style="1" customWidth="1"/>
    <col min="20" max="16384" width="11.44140625" style="1"/>
  </cols>
  <sheetData>
    <row r="1" spans="1:18" ht="42.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89"/>
    </row>
    <row r="2" spans="1:18" ht="34.5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90"/>
    </row>
    <row r="3" spans="1:18" ht="37.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130" t="s">
        <v>47</v>
      </c>
      <c r="M3" s="7"/>
      <c r="N3" s="7"/>
      <c r="O3" s="7"/>
      <c r="P3" s="7"/>
      <c r="Q3" s="7"/>
      <c r="R3" s="90"/>
    </row>
    <row r="4" spans="1:18" ht="23.25" customHeight="1" thickBot="1">
      <c r="A4" s="6"/>
      <c r="B4" s="7"/>
      <c r="C4" s="13"/>
      <c r="D4" s="13"/>
      <c r="E4" s="13"/>
      <c r="F4" s="13"/>
      <c r="G4" s="13"/>
      <c r="H4" s="13"/>
      <c r="I4" s="13"/>
      <c r="J4" s="13"/>
      <c r="K4" s="13"/>
      <c r="L4" s="130" t="s">
        <v>48</v>
      </c>
      <c r="M4" s="7"/>
      <c r="N4" s="7"/>
      <c r="O4" s="7"/>
      <c r="P4" s="7"/>
      <c r="Q4" s="7"/>
      <c r="R4" s="90"/>
    </row>
    <row r="5" spans="1:18" ht="16.2" customHeight="1" thickBot="1">
      <c r="A5" s="6"/>
      <c r="B5" s="131"/>
      <c r="C5" s="378" t="s">
        <v>49</v>
      </c>
      <c r="D5" s="379"/>
      <c r="E5" s="379"/>
      <c r="F5" s="379"/>
      <c r="G5" s="379"/>
      <c r="H5" s="379"/>
      <c r="I5" s="379"/>
      <c r="J5" s="379"/>
      <c r="K5" s="380"/>
      <c r="L5" s="70"/>
      <c r="M5" s="7"/>
      <c r="N5" s="7"/>
      <c r="O5" s="7"/>
      <c r="P5" s="7"/>
      <c r="Q5" s="7"/>
      <c r="R5" s="90"/>
    </row>
    <row r="6" spans="1:18" ht="12" customHeight="1" thickBot="1">
      <c r="A6" s="6"/>
      <c r="B6" s="126"/>
      <c r="C6" s="20"/>
      <c r="D6" s="20"/>
      <c r="E6" s="20"/>
      <c r="F6" s="20"/>
      <c r="G6" s="20"/>
      <c r="H6" s="20"/>
      <c r="I6" s="20"/>
      <c r="J6" s="20"/>
      <c r="K6" s="20"/>
      <c r="L6" s="126"/>
      <c r="M6" s="7"/>
      <c r="N6" s="7"/>
      <c r="O6" s="7"/>
      <c r="P6" s="7"/>
      <c r="Q6" s="7"/>
      <c r="R6" s="90"/>
    </row>
    <row r="7" spans="1:18" ht="49.5" customHeight="1">
      <c r="A7" s="49"/>
      <c r="B7" s="132" t="s">
        <v>50</v>
      </c>
      <c r="C7" s="133" t="s">
        <v>51</v>
      </c>
      <c r="D7" s="134" t="s">
        <v>52</v>
      </c>
      <c r="E7" s="134" t="s">
        <v>53</v>
      </c>
      <c r="F7" s="135" t="s">
        <v>54</v>
      </c>
      <c r="G7" s="136" t="s">
        <v>55</v>
      </c>
      <c r="H7" s="134" t="s">
        <v>56</v>
      </c>
      <c r="I7" s="137" t="s">
        <v>57</v>
      </c>
      <c r="J7" s="136" t="s">
        <v>44</v>
      </c>
      <c r="K7" s="138" t="s">
        <v>58</v>
      </c>
      <c r="L7" s="139" t="s">
        <v>59</v>
      </c>
      <c r="M7" s="7"/>
      <c r="N7" s="7"/>
      <c r="O7" s="7"/>
      <c r="P7" s="7"/>
      <c r="Q7" s="7"/>
      <c r="R7" s="90"/>
    </row>
    <row r="8" spans="1:18" ht="14.4" customHeight="1">
      <c r="A8" s="49"/>
      <c r="B8" s="140">
        <v>37257</v>
      </c>
      <c r="C8" s="141">
        <v>1.84021900106215</v>
      </c>
      <c r="D8" s="142">
        <v>0</v>
      </c>
      <c r="E8" s="143">
        <f t="shared" ref="E8:E71" si="0">C8-D8</f>
        <v>1.84021900106215</v>
      </c>
      <c r="F8" s="141">
        <f t="shared" ref="F8:F71" si="1">C8/H8</f>
        <v>0.12837244513862225</v>
      </c>
      <c r="G8" s="143">
        <f t="shared" ref="G8:G71" si="2">E8/H8</f>
        <v>0.12837244513862225</v>
      </c>
      <c r="H8" s="144">
        <v>14.335000000000001</v>
      </c>
      <c r="I8" s="145">
        <v>3.5200000000000002E-2</v>
      </c>
      <c r="J8" s="146">
        <v>0.03</v>
      </c>
      <c r="K8" s="144">
        <f t="shared" ref="K8:K71" si="3">C8/1.03/(I8+J8)</f>
        <v>27.402153211360854</v>
      </c>
      <c r="L8" s="147" t="s">
        <v>60</v>
      </c>
      <c r="M8" s="7"/>
      <c r="N8" s="7"/>
      <c r="O8" s="7"/>
      <c r="P8" s="7"/>
      <c r="Q8" s="7"/>
      <c r="R8" s="90"/>
    </row>
    <row r="9" spans="1:18" ht="14.4" customHeight="1">
      <c r="A9" s="49"/>
      <c r="B9" s="148">
        <v>37288</v>
      </c>
      <c r="C9" s="149">
        <v>1.9389296086783401</v>
      </c>
      <c r="D9" s="150">
        <v>0</v>
      </c>
      <c r="E9" s="151">
        <f t="shared" si="0"/>
        <v>1.9389296086783401</v>
      </c>
      <c r="F9" s="149">
        <f t="shared" si="1"/>
        <v>0.13241341314473401</v>
      </c>
      <c r="G9" s="151">
        <f t="shared" si="2"/>
        <v>0.13241341314473401</v>
      </c>
      <c r="H9" s="152">
        <v>14.643000000000001</v>
      </c>
      <c r="I9" s="153">
        <v>3.5999999999999997E-2</v>
      </c>
      <c r="J9" s="154">
        <v>3.1099999999999999E-2</v>
      </c>
      <c r="K9" s="152">
        <f t="shared" si="3"/>
        <v>28.054484810069599</v>
      </c>
      <c r="L9" s="155" t="s">
        <v>60</v>
      </c>
      <c r="M9" s="7"/>
      <c r="N9" s="7"/>
      <c r="O9" s="7"/>
      <c r="P9" s="7"/>
      <c r="Q9" s="7"/>
      <c r="R9" s="90"/>
    </row>
    <row r="10" spans="1:18" ht="14.4" customHeight="1">
      <c r="A10" s="49"/>
      <c r="B10" s="148">
        <v>37316</v>
      </c>
      <c r="C10" s="149">
        <v>2.0463204879910499</v>
      </c>
      <c r="D10" s="150">
        <v>0</v>
      </c>
      <c r="E10" s="151">
        <f t="shared" si="0"/>
        <v>2.0463204879910499</v>
      </c>
      <c r="F10" s="149">
        <f t="shared" si="1"/>
        <v>0.13444944073528581</v>
      </c>
      <c r="G10" s="151">
        <f t="shared" si="2"/>
        <v>0.13444944073528581</v>
      </c>
      <c r="H10" s="152">
        <v>15.22</v>
      </c>
      <c r="I10" s="153">
        <v>3.6700000000000003E-2</v>
      </c>
      <c r="J10" s="154">
        <v>3.0800000000000001E-2</v>
      </c>
      <c r="K10" s="152">
        <f t="shared" si="3"/>
        <v>29.43287289451348</v>
      </c>
      <c r="L10" s="155" t="s">
        <v>60</v>
      </c>
      <c r="M10" s="7"/>
      <c r="N10" s="7"/>
      <c r="O10" s="7"/>
      <c r="P10" s="7"/>
      <c r="Q10" s="7"/>
      <c r="R10" s="90"/>
    </row>
    <row r="11" spans="1:18" ht="14.4" customHeight="1">
      <c r="A11" s="49"/>
      <c r="B11" s="148">
        <v>37347</v>
      </c>
      <c r="C11" s="149">
        <v>2.1911293104526601</v>
      </c>
      <c r="D11" s="150">
        <v>0</v>
      </c>
      <c r="E11" s="151">
        <f t="shared" si="0"/>
        <v>2.1911293104526601</v>
      </c>
      <c r="F11" s="149">
        <f t="shared" si="1"/>
        <v>0.13386664897682432</v>
      </c>
      <c r="G11" s="151">
        <f t="shared" si="2"/>
        <v>0.13386664897682432</v>
      </c>
      <c r="H11" s="152">
        <v>16.367999999999999</v>
      </c>
      <c r="I11" s="153">
        <v>3.6200000000000003E-2</v>
      </c>
      <c r="J11" s="154">
        <v>3.1600000000000003E-2</v>
      </c>
      <c r="K11" s="152">
        <f t="shared" si="3"/>
        <v>31.376253836994305</v>
      </c>
      <c r="L11" s="155" t="s">
        <v>60</v>
      </c>
      <c r="M11" s="7"/>
      <c r="N11" s="7"/>
      <c r="O11" s="7"/>
      <c r="P11" s="7"/>
      <c r="Q11" s="7"/>
      <c r="R11" s="90"/>
    </row>
    <row r="12" spans="1:18" ht="14.4" customHeight="1">
      <c r="A12" s="49"/>
      <c r="B12" s="148">
        <v>37377</v>
      </c>
      <c r="C12" s="149">
        <v>2.1898359248155899</v>
      </c>
      <c r="D12" s="150">
        <v>0</v>
      </c>
      <c r="E12" s="151">
        <f t="shared" si="0"/>
        <v>2.1898359248155899</v>
      </c>
      <c r="F12" s="149">
        <f t="shared" si="1"/>
        <v>0.12846626333542122</v>
      </c>
      <c r="G12" s="151">
        <f t="shared" si="2"/>
        <v>0.12846626333542122</v>
      </c>
      <c r="H12" s="152">
        <v>17.045999999999999</v>
      </c>
      <c r="I12" s="153">
        <v>3.7600000000000001E-2</v>
      </c>
      <c r="J12" s="154">
        <v>3.1399999999999997E-2</v>
      </c>
      <c r="K12" s="152">
        <f t="shared" si="3"/>
        <v>30.812381100542982</v>
      </c>
      <c r="L12" s="155" t="s">
        <v>60</v>
      </c>
      <c r="M12" s="7"/>
      <c r="N12" s="7"/>
      <c r="O12" s="7"/>
      <c r="P12" s="7"/>
      <c r="Q12" s="7"/>
      <c r="R12" s="90"/>
    </row>
    <row r="13" spans="1:18" ht="14.4" customHeight="1">
      <c r="A13" s="49"/>
      <c r="B13" s="148">
        <v>37408</v>
      </c>
      <c r="C13" s="149">
        <v>2.19793088410445</v>
      </c>
      <c r="D13" s="150">
        <v>0</v>
      </c>
      <c r="E13" s="151">
        <f t="shared" si="0"/>
        <v>2.19793088410445</v>
      </c>
      <c r="F13" s="149">
        <f t="shared" si="1"/>
        <v>0.1233960747869105</v>
      </c>
      <c r="G13" s="151">
        <f t="shared" si="2"/>
        <v>0.1233960747869105</v>
      </c>
      <c r="H13" s="152">
        <v>17.812000000000001</v>
      </c>
      <c r="I13" s="153">
        <v>3.6600000000000001E-2</v>
      </c>
      <c r="J13" s="154">
        <v>3.1300000000000001E-2</v>
      </c>
      <c r="K13" s="152">
        <f t="shared" si="3"/>
        <v>31.42729719754136</v>
      </c>
      <c r="L13" s="155" t="s">
        <v>60</v>
      </c>
      <c r="M13" s="7"/>
      <c r="N13" s="7"/>
      <c r="O13" s="7"/>
      <c r="P13" s="7"/>
      <c r="Q13" s="7"/>
      <c r="R13" s="90"/>
    </row>
    <row r="14" spans="1:18" ht="14.4" customHeight="1">
      <c r="A14" s="49"/>
      <c r="B14" s="148">
        <v>37438</v>
      </c>
      <c r="C14" s="149">
        <v>2.2111885110099099</v>
      </c>
      <c r="D14" s="150">
        <v>0</v>
      </c>
      <c r="E14" s="151">
        <f t="shared" si="0"/>
        <v>2.2111885110099099</v>
      </c>
      <c r="F14" s="149">
        <f t="shared" si="1"/>
        <v>9.7693227490055226E-2</v>
      </c>
      <c r="G14" s="151">
        <f t="shared" si="2"/>
        <v>9.7693227490055226E-2</v>
      </c>
      <c r="H14" s="152">
        <v>22.634</v>
      </c>
      <c r="I14" s="153">
        <v>3.5299999999999998E-2</v>
      </c>
      <c r="J14" s="154">
        <v>3.0499999999999999E-2</v>
      </c>
      <c r="K14" s="152">
        <f t="shared" si="3"/>
        <v>32.625911278807656</v>
      </c>
      <c r="L14" s="155" t="s">
        <v>60</v>
      </c>
      <c r="M14" s="7"/>
      <c r="N14" s="7"/>
      <c r="O14" s="7"/>
      <c r="P14" s="7"/>
      <c r="Q14" s="7"/>
      <c r="R14" s="90"/>
    </row>
    <row r="15" spans="1:18" ht="14.4" customHeight="1">
      <c r="A15" s="49"/>
      <c r="B15" s="148">
        <v>37469</v>
      </c>
      <c r="C15" s="149">
        <v>2.4464783875238298</v>
      </c>
      <c r="D15" s="150">
        <v>0</v>
      </c>
      <c r="E15" s="151">
        <f t="shared" si="0"/>
        <v>2.4464783875238298</v>
      </c>
      <c r="F15" s="149">
        <f t="shared" si="1"/>
        <v>9.1655866459007557E-2</v>
      </c>
      <c r="G15" s="151">
        <f t="shared" si="2"/>
        <v>9.1655866459007557E-2</v>
      </c>
      <c r="H15" s="152">
        <v>26.692</v>
      </c>
      <c r="I15" s="153">
        <v>3.3599999999999998E-2</v>
      </c>
      <c r="J15" s="154">
        <v>3.0200000000000001E-2</v>
      </c>
      <c r="K15" s="152">
        <f t="shared" si="3"/>
        <v>37.229180806583528</v>
      </c>
      <c r="L15" s="155" t="s">
        <v>60</v>
      </c>
      <c r="M15" s="7"/>
      <c r="N15" s="7"/>
      <c r="O15" s="7"/>
      <c r="P15" s="7"/>
      <c r="Q15" s="7"/>
      <c r="R15" s="90"/>
    </row>
    <row r="16" spans="1:18" ht="14.4" customHeight="1">
      <c r="A16" s="49"/>
      <c r="B16" s="148">
        <v>37500</v>
      </c>
      <c r="C16" s="149">
        <v>2.4145018618058001</v>
      </c>
      <c r="D16" s="150">
        <v>0</v>
      </c>
      <c r="E16" s="151">
        <f t="shared" si="0"/>
        <v>2.4145018618058001</v>
      </c>
      <c r="F16" s="149">
        <f t="shared" si="1"/>
        <v>8.3379441322114792E-2</v>
      </c>
      <c r="G16" s="151">
        <f t="shared" si="2"/>
        <v>8.3379441322114792E-2</v>
      </c>
      <c r="H16" s="152">
        <v>28.957999999999998</v>
      </c>
      <c r="I16" s="153">
        <v>3.3500000000000002E-2</v>
      </c>
      <c r="J16" s="154">
        <v>3.1099999999999999E-2</v>
      </c>
      <c r="K16" s="152">
        <f t="shared" si="3"/>
        <v>36.287562923529414</v>
      </c>
      <c r="L16" s="155" t="s">
        <v>60</v>
      </c>
      <c r="M16" s="7"/>
      <c r="N16" s="7"/>
      <c r="O16" s="7"/>
      <c r="P16" s="7"/>
      <c r="Q16" s="7"/>
      <c r="R16" s="90"/>
    </row>
    <row r="17" spans="1:18" ht="14.4" customHeight="1">
      <c r="A17" s="49"/>
      <c r="B17" s="148">
        <v>37530</v>
      </c>
      <c r="C17" s="149">
        <v>2.77888691080895</v>
      </c>
      <c r="D17" s="150">
        <v>0</v>
      </c>
      <c r="E17" s="151">
        <f t="shared" si="0"/>
        <v>2.77888691080895</v>
      </c>
      <c r="F17" s="149">
        <f t="shared" si="1"/>
        <v>0.10288744162349402</v>
      </c>
      <c r="G17" s="151">
        <f t="shared" si="2"/>
        <v>0.10288744162349402</v>
      </c>
      <c r="H17" s="152">
        <v>27.009</v>
      </c>
      <c r="I17" s="153">
        <v>3.3599999999999998E-2</v>
      </c>
      <c r="J17" s="154">
        <v>3.1300000000000001E-2</v>
      </c>
      <c r="K17" s="152">
        <f t="shared" si="3"/>
        <v>41.570854500709828</v>
      </c>
      <c r="L17" s="155" t="s">
        <v>60</v>
      </c>
      <c r="M17" s="7"/>
      <c r="N17" s="7"/>
      <c r="O17" s="7"/>
      <c r="P17" s="7"/>
      <c r="Q17" s="7"/>
      <c r="R17" s="90"/>
    </row>
    <row r="18" spans="1:18" ht="14.4" customHeight="1">
      <c r="A18" s="49"/>
      <c r="B18" s="148">
        <v>37561</v>
      </c>
      <c r="C18" s="149">
        <v>2.5104422311997401</v>
      </c>
      <c r="D18" s="150">
        <v>0</v>
      </c>
      <c r="E18" s="151">
        <f t="shared" si="0"/>
        <v>2.5104422311997401</v>
      </c>
      <c r="F18" s="149">
        <f t="shared" si="1"/>
        <v>9.2343199852855884E-2</v>
      </c>
      <c r="G18" s="151">
        <f t="shared" si="2"/>
        <v>9.2343199852855884E-2</v>
      </c>
      <c r="H18" s="152">
        <v>27.186</v>
      </c>
      <c r="I18" s="153">
        <v>3.3799999999999997E-2</v>
      </c>
      <c r="J18" s="154">
        <v>3.0700000000000002E-2</v>
      </c>
      <c r="K18" s="152">
        <f t="shared" si="3"/>
        <v>37.787946582369834</v>
      </c>
      <c r="L18" s="155" t="s">
        <v>60</v>
      </c>
      <c r="M18" s="7"/>
      <c r="N18" s="7"/>
      <c r="O18" s="7"/>
      <c r="P18" s="7"/>
      <c r="Q18" s="7"/>
      <c r="R18" s="90"/>
    </row>
    <row r="19" spans="1:18" ht="14.4" customHeight="1">
      <c r="A19" s="49"/>
      <c r="B19" s="156">
        <v>37591</v>
      </c>
      <c r="C19" s="157">
        <v>2.7192080836477999</v>
      </c>
      <c r="D19" s="158">
        <v>0</v>
      </c>
      <c r="E19" s="159">
        <f t="shared" si="0"/>
        <v>2.7192080836477999</v>
      </c>
      <c r="F19" s="157">
        <f t="shared" si="1"/>
        <v>9.9787452610928432E-2</v>
      </c>
      <c r="G19" s="159">
        <f t="shared" si="2"/>
        <v>9.9787452610928432E-2</v>
      </c>
      <c r="H19" s="160">
        <v>27.25</v>
      </c>
      <c r="I19" s="161">
        <v>3.4299999999999997E-2</v>
      </c>
      <c r="J19" s="162">
        <v>3.0300000000000001E-2</v>
      </c>
      <c r="K19" s="160">
        <f t="shared" si="3"/>
        <v>40.86699455420662</v>
      </c>
      <c r="L19" s="163" t="s">
        <v>60</v>
      </c>
      <c r="M19" s="7"/>
      <c r="N19" s="7"/>
      <c r="O19" s="7"/>
      <c r="P19" s="7"/>
      <c r="Q19" s="7"/>
      <c r="R19" s="90"/>
    </row>
    <row r="20" spans="1:18" ht="14.4" customHeight="1">
      <c r="A20" s="49"/>
      <c r="B20" s="140">
        <v>37622</v>
      </c>
      <c r="C20" s="141">
        <v>2.7195373159418899</v>
      </c>
      <c r="D20" s="142">
        <v>0</v>
      </c>
      <c r="E20" s="143">
        <f t="shared" si="0"/>
        <v>2.7195373159418899</v>
      </c>
      <c r="F20" s="141">
        <f t="shared" si="1"/>
        <v>9.7765298772041917E-2</v>
      </c>
      <c r="G20" s="143">
        <f t="shared" si="2"/>
        <v>9.7765298772041917E-2</v>
      </c>
      <c r="H20" s="144">
        <v>27.817</v>
      </c>
      <c r="I20" s="145">
        <v>3.6700000000000003E-2</v>
      </c>
      <c r="J20" s="146">
        <v>3.0300000000000001E-2</v>
      </c>
      <c r="K20" s="144">
        <f t="shared" si="3"/>
        <v>39.407873003070421</v>
      </c>
      <c r="L20" s="147" t="s">
        <v>61</v>
      </c>
      <c r="M20" s="7"/>
      <c r="N20" s="7"/>
      <c r="O20" s="7"/>
      <c r="P20" s="7"/>
      <c r="Q20" s="7"/>
      <c r="R20" s="90"/>
    </row>
    <row r="21" spans="1:18" ht="14.4" customHeight="1">
      <c r="A21" s="49"/>
      <c r="B21" s="148">
        <v>37653</v>
      </c>
      <c r="C21" s="149">
        <v>2.9293686479745702</v>
      </c>
      <c r="D21" s="150">
        <v>0</v>
      </c>
      <c r="E21" s="151">
        <f t="shared" si="0"/>
        <v>2.9293686479745702</v>
      </c>
      <c r="F21" s="149">
        <f t="shared" si="1"/>
        <v>0.10278486484121299</v>
      </c>
      <c r="G21" s="151">
        <f t="shared" si="2"/>
        <v>0.10278486484121299</v>
      </c>
      <c r="H21" s="152">
        <v>28.5</v>
      </c>
      <c r="I21" s="153">
        <v>3.78E-2</v>
      </c>
      <c r="J21" s="154">
        <v>3.09E-2</v>
      </c>
      <c r="K21" s="152">
        <f t="shared" si="3"/>
        <v>41.398067409654615</v>
      </c>
      <c r="L21" s="155" t="s">
        <v>61</v>
      </c>
      <c r="M21" s="7"/>
      <c r="N21" s="7"/>
      <c r="O21" s="7"/>
      <c r="P21" s="7"/>
      <c r="Q21" s="7"/>
      <c r="R21" s="90"/>
    </row>
    <row r="22" spans="1:18" ht="14.4" customHeight="1">
      <c r="A22" s="49"/>
      <c r="B22" s="148">
        <v>37681</v>
      </c>
      <c r="C22" s="149">
        <v>3.4185233892525</v>
      </c>
      <c r="D22" s="150">
        <v>0</v>
      </c>
      <c r="E22" s="151">
        <f t="shared" si="0"/>
        <v>3.4185233892525</v>
      </c>
      <c r="F22" s="149">
        <f t="shared" si="1"/>
        <v>0.11897137151988932</v>
      </c>
      <c r="G22" s="151">
        <f t="shared" si="2"/>
        <v>0.11897137151988932</v>
      </c>
      <c r="H22" s="152">
        <v>28.734000000000002</v>
      </c>
      <c r="I22" s="153">
        <v>3.8199999999999998E-2</v>
      </c>
      <c r="J22" s="154">
        <v>3.2000000000000001E-2</v>
      </c>
      <c r="K22" s="152">
        <f t="shared" si="3"/>
        <v>47.278557647394408</v>
      </c>
      <c r="L22" s="155" t="s">
        <v>61</v>
      </c>
      <c r="M22" s="7"/>
      <c r="N22" s="7"/>
      <c r="O22" s="7"/>
      <c r="P22" s="7"/>
      <c r="Q22" s="7"/>
      <c r="R22" s="90"/>
    </row>
    <row r="23" spans="1:18" ht="14.4" customHeight="1">
      <c r="A23" s="49"/>
      <c r="B23" s="148">
        <v>37712</v>
      </c>
      <c r="C23" s="149">
        <v>3.4641721620218702</v>
      </c>
      <c r="D23" s="150">
        <v>0</v>
      </c>
      <c r="E23" s="151">
        <f t="shared" si="0"/>
        <v>3.4641721620218702</v>
      </c>
      <c r="F23" s="149">
        <f t="shared" si="1"/>
        <v>0.12044267304157813</v>
      </c>
      <c r="G23" s="151">
        <f t="shared" si="2"/>
        <v>0.12044267304157813</v>
      </c>
      <c r="H23" s="152">
        <v>28.762</v>
      </c>
      <c r="I23" s="153">
        <v>3.9300000000000002E-2</v>
      </c>
      <c r="J23" s="154">
        <v>3.2399999999999998E-2</v>
      </c>
      <c r="K23" s="152">
        <f t="shared" si="3"/>
        <v>46.907586383689733</v>
      </c>
      <c r="L23" s="155" t="s">
        <v>61</v>
      </c>
      <c r="M23" s="7"/>
      <c r="N23" s="7"/>
      <c r="O23" s="7"/>
      <c r="P23" s="7"/>
      <c r="Q23" s="7"/>
      <c r="R23" s="90"/>
    </row>
    <row r="24" spans="1:18" ht="14.4" customHeight="1">
      <c r="A24" s="49"/>
      <c r="B24" s="148">
        <v>37742</v>
      </c>
      <c r="C24" s="149">
        <v>3.48542496685794</v>
      </c>
      <c r="D24" s="150">
        <v>0</v>
      </c>
      <c r="E24" s="151">
        <f t="shared" si="0"/>
        <v>3.48542496685794</v>
      </c>
      <c r="F24" s="149">
        <f t="shared" si="1"/>
        <v>0.11951940768321584</v>
      </c>
      <c r="G24" s="151">
        <f t="shared" si="2"/>
        <v>0.11951940768321584</v>
      </c>
      <c r="H24" s="152">
        <v>29.161999999999999</v>
      </c>
      <c r="I24" s="153">
        <v>3.9600000000000003E-2</v>
      </c>
      <c r="J24" s="154">
        <v>3.1800000000000002E-2</v>
      </c>
      <c r="K24" s="152">
        <f t="shared" si="3"/>
        <v>47.393665753690946</v>
      </c>
      <c r="L24" s="155" t="s">
        <v>61</v>
      </c>
      <c r="M24" s="7"/>
      <c r="N24" s="7"/>
      <c r="O24" s="7"/>
      <c r="P24" s="7"/>
      <c r="Q24" s="7"/>
      <c r="R24" s="90"/>
    </row>
    <row r="25" spans="1:18" ht="14.4" customHeight="1">
      <c r="A25" s="49"/>
      <c r="B25" s="148">
        <v>37773</v>
      </c>
      <c r="C25" s="149">
        <v>3.88843552299012</v>
      </c>
      <c r="D25" s="150">
        <v>0</v>
      </c>
      <c r="E25" s="151">
        <f t="shared" si="0"/>
        <v>3.88843552299012</v>
      </c>
      <c r="F25" s="149">
        <f t="shared" si="1"/>
        <v>0.14556341567739003</v>
      </c>
      <c r="G25" s="151">
        <f t="shared" si="2"/>
        <v>0.14556341567739003</v>
      </c>
      <c r="H25" s="152">
        <v>26.713000000000001</v>
      </c>
      <c r="I25" s="153">
        <v>3.8100000000000002E-2</v>
      </c>
      <c r="J25" s="154">
        <v>3.1800000000000002E-2</v>
      </c>
      <c r="K25" s="152">
        <f t="shared" si="3"/>
        <v>54.008299276221507</v>
      </c>
      <c r="L25" s="155" t="s">
        <v>61</v>
      </c>
      <c r="M25" s="7"/>
      <c r="N25" s="7"/>
      <c r="O25" s="7"/>
      <c r="P25" s="7"/>
      <c r="Q25" s="7"/>
      <c r="R25" s="90"/>
    </row>
    <row r="26" spans="1:18" ht="14.4" customHeight="1">
      <c r="A26" s="49"/>
      <c r="B26" s="148">
        <v>37803</v>
      </c>
      <c r="C26" s="149">
        <v>3.8359177424105901</v>
      </c>
      <c r="D26" s="150">
        <v>0</v>
      </c>
      <c r="E26" s="151">
        <f t="shared" si="0"/>
        <v>3.8359177424105901</v>
      </c>
      <c r="F26" s="149">
        <f t="shared" si="1"/>
        <v>0.14246676852035617</v>
      </c>
      <c r="G26" s="151">
        <f t="shared" si="2"/>
        <v>0.14246676852035617</v>
      </c>
      <c r="H26" s="152">
        <v>26.925000000000001</v>
      </c>
      <c r="I26" s="153">
        <v>3.6900000000000002E-2</v>
      </c>
      <c r="J26" s="154">
        <v>3.1600000000000003E-2</v>
      </c>
      <c r="K26" s="152">
        <f t="shared" si="3"/>
        <v>54.367766174056975</v>
      </c>
      <c r="L26" s="155" t="s">
        <v>61</v>
      </c>
      <c r="M26" s="7"/>
      <c r="N26" s="7"/>
      <c r="O26" s="7"/>
      <c r="P26" s="7"/>
      <c r="Q26" s="7"/>
      <c r="R26" s="90"/>
    </row>
    <row r="27" spans="1:18" ht="14.4" customHeight="1">
      <c r="A27" s="49"/>
      <c r="B27" s="148">
        <v>37834</v>
      </c>
      <c r="C27" s="149">
        <v>3.8289739925928998</v>
      </c>
      <c r="D27" s="150">
        <v>0</v>
      </c>
      <c r="E27" s="151">
        <f t="shared" si="0"/>
        <v>3.8289739925928998</v>
      </c>
      <c r="F27" s="149">
        <f t="shared" si="1"/>
        <v>0.13770810978575435</v>
      </c>
      <c r="G27" s="151">
        <f t="shared" si="2"/>
        <v>0.13770810978575435</v>
      </c>
      <c r="H27" s="152">
        <v>27.805</v>
      </c>
      <c r="I27" s="153">
        <v>3.5900000000000001E-2</v>
      </c>
      <c r="J27" s="154">
        <v>3.15E-2</v>
      </c>
      <c r="K27" s="152">
        <f t="shared" si="3"/>
        <v>55.155051606016819</v>
      </c>
      <c r="L27" s="155" t="s">
        <v>61</v>
      </c>
      <c r="M27" s="7"/>
      <c r="N27" s="7"/>
      <c r="O27" s="7"/>
      <c r="P27" s="7"/>
      <c r="Q27" s="7"/>
      <c r="R27" s="90"/>
    </row>
    <row r="28" spans="1:18" ht="14.4" customHeight="1">
      <c r="A28" s="49"/>
      <c r="B28" s="148">
        <v>37865</v>
      </c>
      <c r="C28" s="149">
        <v>3.8155056871358402</v>
      </c>
      <c r="D28" s="150">
        <v>0</v>
      </c>
      <c r="E28" s="151">
        <f t="shared" si="0"/>
        <v>3.8155056871358402</v>
      </c>
      <c r="F28" s="149">
        <f t="shared" si="1"/>
        <v>0.13695774030424063</v>
      </c>
      <c r="G28" s="151">
        <f t="shared" si="2"/>
        <v>0.13695774030424063</v>
      </c>
      <c r="H28" s="152">
        <v>27.859000000000002</v>
      </c>
      <c r="I28" s="153">
        <v>3.5099999999999999E-2</v>
      </c>
      <c r="J28" s="154">
        <v>3.2199999999999999E-2</v>
      </c>
      <c r="K28" s="152">
        <f t="shared" si="3"/>
        <v>55.042711047993194</v>
      </c>
      <c r="L28" s="155" t="s">
        <v>61</v>
      </c>
      <c r="M28" s="7"/>
      <c r="N28" s="7"/>
      <c r="O28" s="7"/>
      <c r="P28" s="7"/>
      <c r="Q28" s="7"/>
      <c r="R28" s="90"/>
    </row>
    <row r="29" spans="1:18" ht="14.4" customHeight="1">
      <c r="A29" s="49"/>
      <c r="B29" s="148">
        <v>37895</v>
      </c>
      <c r="C29" s="149">
        <v>3.7790245303646102</v>
      </c>
      <c r="D29" s="150">
        <v>0</v>
      </c>
      <c r="E29" s="151">
        <f t="shared" si="0"/>
        <v>3.7790245303646102</v>
      </c>
      <c r="F29" s="149">
        <f t="shared" si="1"/>
        <v>0.13373764130532648</v>
      </c>
      <c r="G29" s="151">
        <f t="shared" si="2"/>
        <v>0.13373764130532648</v>
      </c>
      <c r="H29" s="152">
        <v>28.257000000000001</v>
      </c>
      <c r="I29" s="153">
        <v>3.4599999999999999E-2</v>
      </c>
      <c r="J29" s="154">
        <v>3.2300000000000002E-2</v>
      </c>
      <c r="K29" s="152">
        <f t="shared" si="3"/>
        <v>54.842389457741739</v>
      </c>
      <c r="L29" s="155" t="s">
        <v>61</v>
      </c>
      <c r="M29" s="7"/>
      <c r="N29" s="7"/>
      <c r="O29" s="7"/>
      <c r="P29" s="7"/>
      <c r="Q29" s="7"/>
      <c r="R29" s="90"/>
    </row>
    <row r="30" spans="1:18" ht="14.4" customHeight="1">
      <c r="A30" s="49"/>
      <c r="B30" s="148">
        <v>37926</v>
      </c>
      <c r="C30" s="149">
        <v>3.7461694378702299</v>
      </c>
      <c r="D30" s="150">
        <v>0</v>
      </c>
      <c r="E30" s="151">
        <f t="shared" si="0"/>
        <v>3.7461694378702299</v>
      </c>
      <c r="F30" s="149">
        <f t="shared" si="1"/>
        <v>0.12969255453938824</v>
      </c>
      <c r="G30" s="151">
        <f t="shared" si="2"/>
        <v>0.12969255453938824</v>
      </c>
      <c r="H30" s="152">
        <v>28.885000000000002</v>
      </c>
      <c r="I30" s="153">
        <v>3.5400000000000001E-2</v>
      </c>
      <c r="J30" s="154">
        <v>3.1600000000000003E-2</v>
      </c>
      <c r="K30" s="152">
        <f t="shared" si="3"/>
        <v>54.284443383136207</v>
      </c>
      <c r="L30" s="155" t="s">
        <v>61</v>
      </c>
      <c r="M30" s="7"/>
      <c r="N30" s="7"/>
      <c r="O30" s="7"/>
      <c r="P30" s="7"/>
      <c r="Q30" s="7"/>
      <c r="R30" s="90"/>
    </row>
    <row r="31" spans="1:18" ht="14.4" customHeight="1">
      <c r="A31" s="49"/>
      <c r="B31" s="156">
        <v>37956</v>
      </c>
      <c r="C31" s="157">
        <v>3.7211031377778698</v>
      </c>
      <c r="D31" s="158">
        <v>0</v>
      </c>
      <c r="E31" s="159">
        <f t="shared" si="0"/>
        <v>3.7211031377778698</v>
      </c>
      <c r="F31" s="157">
        <f t="shared" si="1"/>
        <v>0.12726941438463199</v>
      </c>
      <c r="G31" s="159">
        <f t="shared" si="2"/>
        <v>0.12726941438463199</v>
      </c>
      <c r="H31" s="160">
        <v>29.238</v>
      </c>
      <c r="I31" s="161">
        <v>3.56E-2</v>
      </c>
      <c r="J31" s="162">
        <v>3.09E-2</v>
      </c>
      <c r="K31" s="160">
        <f t="shared" si="3"/>
        <v>54.326638992304105</v>
      </c>
      <c r="L31" s="163" t="s">
        <v>61</v>
      </c>
      <c r="M31" s="7"/>
      <c r="N31" s="7"/>
      <c r="O31" s="7"/>
      <c r="P31" s="7"/>
      <c r="Q31" s="7"/>
      <c r="R31" s="90"/>
    </row>
    <row r="32" spans="1:18" ht="14.4" customHeight="1">
      <c r="A32" s="49"/>
      <c r="B32" s="140">
        <v>37987</v>
      </c>
      <c r="C32" s="141">
        <v>3.8102893729845602</v>
      </c>
      <c r="D32" s="142">
        <v>0</v>
      </c>
      <c r="E32" s="143">
        <f t="shared" si="0"/>
        <v>3.8102893729845602</v>
      </c>
      <c r="F32" s="141">
        <f t="shared" si="1"/>
        <v>0.12953558976660073</v>
      </c>
      <c r="G32" s="143">
        <f t="shared" si="2"/>
        <v>0.12953558976660073</v>
      </c>
      <c r="H32" s="144">
        <v>29.414999999999999</v>
      </c>
      <c r="I32" s="145">
        <v>3.6200000000000003E-2</v>
      </c>
      <c r="J32" s="146">
        <v>3.0499999999999999E-2</v>
      </c>
      <c r="K32" s="144">
        <f t="shared" si="3"/>
        <v>55.461920102830518</v>
      </c>
      <c r="L32" s="147" t="s">
        <v>62</v>
      </c>
      <c r="M32" s="7"/>
      <c r="N32" s="7"/>
      <c r="O32" s="7"/>
      <c r="P32" s="7"/>
      <c r="Q32" s="7"/>
      <c r="R32" s="90"/>
    </row>
    <row r="33" spans="1:18" ht="14.4" customHeight="1">
      <c r="A33" s="49"/>
      <c r="B33" s="148">
        <v>38018</v>
      </c>
      <c r="C33" s="149">
        <v>3.8941636765347201</v>
      </c>
      <c r="D33" s="150">
        <v>0</v>
      </c>
      <c r="E33" s="151">
        <f t="shared" si="0"/>
        <v>3.8941636765347201</v>
      </c>
      <c r="F33" s="149">
        <f t="shared" si="1"/>
        <v>0.13193846100405623</v>
      </c>
      <c r="G33" s="151">
        <f t="shared" si="2"/>
        <v>0.13193846100405623</v>
      </c>
      <c r="H33" s="152">
        <v>29.515000000000001</v>
      </c>
      <c r="I33" s="153">
        <v>3.6999999999999998E-2</v>
      </c>
      <c r="J33" s="154">
        <v>3.1E-2</v>
      </c>
      <c r="K33" s="152">
        <f t="shared" si="3"/>
        <v>55.599138728365503</v>
      </c>
      <c r="L33" s="155" t="s">
        <v>62</v>
      </c>
      <c r="M33" s="7"/>
      <c r="N33" s="7"/>
      <c r="O33" s="7"/>
      <c r="P33" s="7"/>
      <c r="Q33" s="7"/>
      <c r="R33" s="90"/>
    </row>
    <row r="34" spans="1:18" ht="14.4" customHeight="1">
      <c r="A34" s="49"/>
      <c r="B34" s="148">
        <v>38047</v>
      </c>
      <c r="C34" s="149">
        <v>4.1238232142902396</v>
      </c>
      <c r="D34" s="150">
        <v>0</v>
      </c>
      <c r="E34" s="151">
        <f t="shared" si="0"/>
        <v>4.1238232142902396</v>
      </c>
      <c r="F34" s="149">
        <f t="shared" si="1"/>
        <v>0.1392901173508829</v>
      </c>
      <c r="G34" s="151">
        <f t="shared" si="2"/>
        <v>0.1392901173508829</v>
      </c>
      <c r="H34" s="152">
        <v>29.606000000000002</v>
      </c>
      <c r="I34" s="153">
        <v>3.8199999999999998E-2</v>
      </c>
      <c r="J34" s="154">
        <v>3.1800000000000002E-2</v>
      </c>
      <c r="K34" s="152">
        <f t="shared" si="3"/>
        <v>57.195883693345891</v>
      </c>
      <c r="L34" s="155" t="s">
        <v>62</v>
      </c>
      <c r="M34" s="7"/>
      <c r="N34" s="7"/>
      <c r="O34" s="7"/>
      <c r="P34" s="7"/>
      <c r="Q34" s="7"/>
      <c r="R34" s="90"/>
    </row>
    <row r="35" spans="1:18" ht="14.4" customHeight="1">
      <c r="A35" s="49"/>
      <c r="B35" s="148">
        <v>38078</v>
      </c>
      <c r="C35" s="149">
        <v>4.2020368147104898</v>
      </c>
      <c r="D35" s="150">
        <v>0</v>
      </c>
      <c r="E35" s="151">
        <f t="shared" si="0"/>
        <v>4.2020368147104898</v>
      </c>
      <c r="F35" s="149">
        <f t="shared" si="1"/>
        <v>0.14172130909647521</v>
      </c>
      <c r="G35" s="151">
        <f t="shared" si="2"/>
        <v>0.14172130909647521</v>
      </c>
      <c r="H35" s="152">
        <v>29.65</v>
      </c>
      <c r="I35" s="153">
        <v>3.8600000000000002E-2</v>
      </c>
      <c r="J35" s="154">
        <v>3.1199999999999999E-2</v>
      </c>
      <c r="K35" s="152">
        <f t="shared" si="3"/>
        <v>58.44767038571355</v>
      </c>
      <c r="L35" s="155" t="s">
        <v>62</v>
      </c>
      <c r="M35" s="7"/>
      <c r="N35" s="7"/>
      <c r="O35" s="7"/>
      <c r="P35" s="7"/>
      <c r="Q35" s="7"/>
      <c r="R35" s="90"/>
    </row>
    <row r="36" spans="1:18" ht="14.4" customHeight="1">
      <c r="A36" s="49"/>
      <c r="B36" s="148">
        <v>38108</v>
      </c>
      <c r="C36" s="149">
        <v>4.3905348575378502</v>
      </c>
      <c r="D36" s="150">
        <v>0</v>
      </c>
      <c r="E36" s="151">
        <f t="shared" si="0"/>
        <v>4.3905348575378502</v>
      </c>
      <c r="F36" s="149">
        <f t="shared" si="1"/>
        <v>0.1475264560175347</v>
      </c>
      <c r="G36" s="151">
        <f t="shared" si="2"/>
        <v>0.1475264560175347</v>
      </c>
      <c r="H36" s="152">
        <v>29.760999999999999</v>
      </c>
      <c r="I36" s="153">
        <v>3.8600000000000002E-2</v>
      </c>
      <c r="J36" s="154">
        <v>3.1800000000000002E-2</v>
      </c>
      <c r="K36" s="152">
        <f t="shared" si="3"/>
        <v>60.549079566662755</v>
      </c>
      <c r="L36" s="155" t="s">
        <v>62</v>
      </c>
      <c r="M36" s="7"/>
      <c r="N36" s="7"/>
      <c r="O36" s="7"/>
      <c r="P36" s="7"/>
      <c r="Q36" s="7"/>
      <c r="R36" s="90"/>
    </row>
    <row r="37" spans="1:18" ht="14.4" customHeight="1">
      <c r="A37" s="49"/>
      <c r="B37" s="148">
        <v>38139</v>
      </c>
      <c r="C37" s="149">
        <v>4.3388704730321201</v>
      </c>
      <c r="D37" s="150">
        <v>0</v>
      </c>
      <c r="E37" s="151">
        <f t="shared" si="0"/>
        <v>4.3388704730321201</v>
      </c>
      <c r="F37" s="149">
        <f t="shared" si="1"/>
        <v>0.14589342545501413</v>
      </c>
      <c r="G37" s="151">
        <f t="shared" si="2"/>
        <v>0.14589342545501413</v>
      </c>
      <c r="H37" s="152">
        <v>29.74</v>
      </c>
      <c r="I37" s="153">
        <v>3.7400000000000003E-2</v>
      </c>
      <c r="J37" s="154">
        <v>3.1899999999999998E-2</v>
      </c>
      <c r="K37" s="152">
        <f t="shared" si="3"/>
        <v>60.786372364870907</v>
      </c>
      <c r="L37" s="155" t="s">
        <v>62</v>
      </c>
      <c r="M37" s="7"/>
      <c r="N37" s="7"/>
      <c r="O37" s="7"/>
      <c r="P37" s="7"/>
      <c r="Q37" s="7"/>
      <c r="R37" s="90"/>
    </row>
    <row r="38" spans="1:18" ht="14.4" customHeight="1">
      <c r="A38" s="49"/>
      <c r="B38" s="148">
        <v>38169</v>
      </c>
      <c r="C38" s="149">
        <v>4.2909764735201401</v>
      </c>
      <c r="D38" s="150">
        <v>0</v>
      </c>
      <c r="E38" s="151">
        <f t="shared" si="0"/>
        <v>4.2909764735201401</v>
      </c>
      <c r="F38" s="149">
        <f t="shared" si="1"/>
        <v>0.14564443939719435</v>
      </c>
      <c r="G38" s="151">
        <f t="shared" si="2"/>
        <v>0.14564443939719435</v>
      </c>
      <c r="H38" s="152">
        <v>29.462</v>
      </c>
      <c r="I38" s="153">
        <v>3.6499999999999998E-2</v>
      </c>
      <c r="J38" s="154">
        <v>3.1899999999999998E-2</v>
      </c>
      <c r="K38" s="152">
        <f t="shared" si="3"/>
        <v>60.906382693467052</v>
      </c>
      <c r="L38" s="155" t="s">
        <v>62</v>
      </c>
      <c r="M38" s="7"/>
      <c r="N38" s="7"/>
      <c r="O38" s="7"/>
      <c r="P38" s="7"/>
      <c r="Q38" s="7"/>
      <c r="R38" s="90"/>
    </row>
    <row r="39" spans="1:18" ht="14.4" customHeight="1">
      <c r="A39" s="49"/>
      <c r="B39" s="148">
        <v>38200</v>
      </c>
      <c r="C39" s="149">
        <v>4.2376470479968598</v>
      </c>
      <c r="D39" s="150">
        <v>0</v>
      </c>
      <c r="E39" s="151">
        <f t="shared" si="0"/>
        <v>4.2376470479968598</v>
      </c>
      <c r="F39" s="149">
        <f t="shared" si="1"/>
        <v>0.1467634220404814</v>
      </c>
      <c r="G39" s="151">
        <f t="shared" si="2"/>
        <v>0.1467634220404814</v>
      </c>
      <c r="H39" s="152">
        <v>28.873999999999999</v>
      </c>
      <c r="I39" s="153">
        <v>3.61E-2</v>
      </c>
      <c r="J39" s="154">
        <v>3.2000000000000001E-2</v>
      </c>
      <c r="K39" s="152">
        <f t="shared" si="3"/>
        <v>60.414396988963404</v>
      </c>
      <c r="L39" s="155" t="s">
        <v>62</v>
      </c>
      <c r="M39" s="7"/>
      <c r="N39" s="7"/>
      <c r="O39" s="7"/>
      <c r="P39" s="7"/>
      <c r="Q39" s="7"/>
      <c r="R39" s="90"/>
    </row>
    <row r="40" spans="1:18" ht="14.4" customHeight="1">
      <c r="A40" s="49"/>
      <c r="B40" s="148">
        <v>38231</v>
      </c>
      <c r="C40" s="149">
        <v>4.2988071867471902</v>
      </c>
      <c r="D40" s="150">
        <v>0</v>
      </c>
      <c r="E40" s="151">
        <f t="shared" si="0"/>
        <v>4.2988071867471902</v>
      </c>
      <c r="F40" s="149">
        <f t="shared" si="1"/>
        <v>0.15385852493726521</v>
      </c>
      <c r="G40" s="151">
        <f t="shared" si="2"/>
        <v>0.15385852493726521</v>
      </c>
      <c r="H40" s="152">
        <v>27.94</v>
      </c>
      <c r="I40" s="153">
        <v>3.5700000000000003E-2</v>
      </c>
      <c r="J40" s="154">
        <v>3.2599999999999997E-2</v>
      </c>
      <c r="K40" s="152">
        <f t="shared" si="3"/>
        <v>61.106869845302569</v>
      </c>
      <c r="L40" s="155" t="s">
        <v>62</v>
      </c>
      <c r="M40" s="7"/>
      <c r="N40" s="7"/>
      <c r="O40" s="7"/>
      <c r="P40" s="7"/>
      <c r="Q40" s="7"/>
      <c r="R40" s="90"/>
    </row>
    <row r="41" spans="1:18" ht="14.4" customHeight="1">
      <c r="A41" s="49"/>
      <c r="B41" s="148">
        <v>38261</v>
      </c>
      <c r="C41" s="149">
        <v>4.2660918951216997</v>
      </c>
      <c r="D41" s="150">
        <v>0</v>
      </c>
      <c r="E41" s="151">
        <f t="shared" si="0"/>
        <v>4.2660918951216997</v>
      </c>
      <c r="F41" s="149">
        <f t="shared" si="1"/>
        <v>0.157043692071478</v>
      </c>
      <c r="G41" s="151">
        <f t="shared" si="2"/>
        <v>0.157043692071478</v>
      </c>
      <c r="H41" s="152">
        <v>27.164999999999999</v>
      </c>
      <c r="I41" s="153">
        <v>3.5999999999999997E-2</v>
      </c>
      <c r="J41" s="154">
        <v>3.2500000000000001E-2</v>
      </c>
      <c r="K41" s="152">
        <f t="shared" si="3"/>
        <v>60.46477067708453</v>
      </c>
      <c r="L41" s="155" t="s">
        <v>62</v>
      </c>
      <c r="M41" s="7"/>
      <c r="N41" s="7"/>
      <c r="O41" s="7"/>
      <c r="P41" s="7"/>
      <c r="Q41" s="7"/>
      <c r="R41" s="90"/>
    </row>
    <row r="42" spans="1:18" ht="14.4" customHeight="1">
      <c r="A42" s="49"/>
      <c r="B42" s="148">
        <v>38292</v>
      </c>
      <c r="C42" s="149">
        <v>4.1467909047741998</v>
      </c>
      <c r="D42" s="150">
        <v>0</v>
      </c>
      <c r="E42" s="151">
        <f t="shared" si="0"/>
        <v>4.1467909047741998</v>
      </c>
      <c r="F42" s="149">
        <f t="shared" si="1"/>
        <v>0.15563110920526177</v>
      </c>
      <c r="G42" s="151">
        <f t="shared" si="2"/>
        <v>0.15563110920526177</v>
      </c>
      <c r="H42" s="152">
        <v>26.645</v>
      </c>
      <c r="I42" s="153">
        <v>3.56E-2</v>
      </c>
      <c r="J42" s="154">
        <v>3.1600000000000003E-2</v>
      </c>
      <c r="K42" s="152">
        <f t="shared" si="3"/>
        <v>59.91087183272942</v>
      </c>
      <c r="L42" s="155" t="s">
        <v>62</v>
      </c>
      <c r="M42" s="7"/>
      <c r="N42" s="7"/>
      <c r="O42" s="7"/>
      <c r="P42" s="7"/>
      <c r="Q42" s="7"/>
      <c r="R42" s="90"/>
    </row>
    <row r="43" spans="1:18" ht="14.4" customHeight="1">
      <c r="A43" s="49"/>
      <c r="B43" s="156">
        <v>38322</v>
      </c>
      <c r="C43" s="157">
        <v>4.0925046293412297</v>
      </c>
      <c r="D43" s="158">
        <v>0</v>
      </c>
      <c r="E43" s="159">
        <f t="shared" si="0"/>
        <v>4.0925046293412297</v>
      </c>
      <c r="F43" s="157">
        <f t="shared" si="1"/>
        <v>0.15406206254107926</v>
      </c>
      <c r="G43" s="159">
        <f t="shared" si="2"/>
        <v>0.15406206254107926</v>
      </c>
      <c r="H43" s="160">
        <v>26.564</v>
      </c>
      <c r="I43" s="161">
        <v>3.5700000000000003E-2</v>
      </c>
      <c r="J43" s="162">
        <v>3.0700000000000002E-2</v>
      </c>
      <c r="K43" s="160">
        <f t="shared" si="3"/>
        <v>59.838937731624014</v>
      </c>
      <c r="L43" s="163" t="s">
        <v>62</v>
      </c>
      <c r="M43" s="7"/>
      <c r="N43" s="7"/>
      <c r="O43" s="7"/>
      <c r="P43" s="7"/>
      <c r="Q43" s="7"/>
      <c r="R43" s="90"/>
    </row>
    <row r="44" spans="1:18" ht="14.4" customHeight="1">
      <c r="A44" s="49"/>
      <c r="B44" s="140">
        <v>38353</v>
      </c>
      <c r="C44" s="141">
        <v>4.1243005711727303</v>
      </c>
      <c r="D44" s="142">
        <v>0</v>
      </c>
      <c r="E44" s="143">
        <f t="shared" si="0"/>
        <v>4.1243005711727303</v>
      </c>
      <c r="F44" s="141">
        <f t="shared" si="1"/>
        <v>0.16157886664731561</v>
      </c>
      <c r="G44" s="143">
        <f t="shared" si="2"/>
        <v>0.16157886664731561</v>
      </c>
      <c r="H44" s="144">
        <v>25.524999999999999</v>
      </c>
      <c r="I44" s="145">
        <v>3.6600000000000001E-2</v>
      </c>
      <c r="J44" s="146">
        <v>3.0800000000000001E-2</v>
      </c>
      <c r="K44" s="144">
        <f t="shared" si="3"/>
        <v>59.40912925546268</v>
      </c>
      <c r="L44" s="147" t="s">
        <v>63</v>
      </c>
      <c r="M44" s="7"/>
      <c r="N44" s="7"/>
      <c r="O44" s="7"/>
      <c r="P44" s="7"/>
      <c r="Q44" s="7"/>
      <c r="R44" s="90"/>
    </row>
    <row r="45" spans="1:18" ht="14.4" customHeight="1">
      <c r="A45" s="49"/>
      <c r="B45" s="148">
        <v>38384</v>
      </c>
      <c r="C45" s="149">
        <v>4.1450482539267801</v>
      </c>
      <c r="D45" s="150">
        <v>0</v>
      </c>
      <c r="E45" s="151">
        <f t="shared" si="0"/>
        <v>4.1450482539267801</v>
      </c>
      <c r="F45" s="149">
        <f t="shared" si="1"/>
        <v>0.16628081891554797</v>
      </c>
      <c r="G45" s="151">
        <f t="shared" si="2"/>
        <v>0.16628081891554797</v>
      </c>
      <c r="H45" s="152">
        <v>24.928000000000001</v>
      </c>
      <c r="I45" s="153">
        <v>3.78E-2</v>
      </c>
      <c r="J45" s="154">
        <v>3.1600000000000003E-2</v>
      </c>
      <c r="K45" s="152">
        <f t="shared" si="3"/>
        <v>57.987301053786688</v>
      </c>
      <c r="L45" s="155" t="s">
        <v>63</v>
      </c>
      <c r="M45" s="7"/>
      <c r="N45" s="7"/>
      <c r="O45" s="7"/>
      <c r="P45" s="7"/>
      <c r="Q45" s="7"/>
      <c r="R45" s="90"/>
    </row>
    <row r="46" spans="1:18" ht="14.4" customHeight="1">
      <c r="A46" s="49"/>
      <c r="B46" s="148">
        <v>38412</v>
      </c>
      <c r="C46" s="149">
        <v>4.2594700202596103</v>
      </c>
      <c r="D46" s="150">
        <v>0</v>
      </c>
      <c r="E46" s="151">
        <f t="shared" si="0"/>
        <v>4.2594700202596103</v>
      </c>
      <c r="F46" s="149">
        <f t="shared" si="1"/>
        <v>0.16690059246344618</v>
      </c>
      <c r="G46" s="151">
        <f t="shared" si="2"/>
        <v>0.16690059246344618</v>
      </c>
      <c r="H46" s="152">
        <v>25.521000000000001</v>
      </c>
      <c r="I46" s="153">
        <v>3.7999999999999999E-2</v>
      </c>
      <c r="J46" s="154">
        <v>3.2800000000000003E-2</v>
      </c>
      <c r="K46" s="152">
        <f t="shared" si="3"/>
        <v>58.409714500844849</v>
      </c>
      <c r="L46" s="155" t="s">
        <v>63</v>
      </c>
      <c r="M46" s="7"/>
      <c r="N46" s="7"/>
      <c r="O46" s="7"/>
      <c r="P46" s="7"/>
      <c r="Q46" s="7"/>
      <c r="R46" s="90"/>
    </row>
    <row r="47" spans="1:18" ht="14.4" customHeight="1">
      <c r="A47" s="49"/>
      <c r="B47" s="148">
        <v>38443</v>
      </c>
      <c r="C47" s="149">
        <v>4.3980265723411396</v>
      </c>
      <c r="D47" s="150">
        <v>0</v>
      </c>
      <c r="E47" s="151">
        <f t="shared" si="0"/>
        <v>4.3980265723411396</v>
      </c>
      <c r="F47" s="149">
        <f t="shared" si="1"/>
        <v>0.17445563555498372</v>
      </c>
      <c r="G47" s="151">
        <f t="shared" si="2"/>
        <v>0.17445563555498372</v>
      </c>
      <c r="H47" s="152">
        <v>25.21</v>
      </c>
      <c r="I47" s="153">
        <v>3.8899999999999997E-2</v>
      </c>
      <c r="J47" s="154">
        <v>3.32E-2</v>
      </c>
      <c r="K47" s="152">
        <f t="shared" si="3"/>
        <v>59.222312219290082</v>
      </c>
      <c r="L47" s="155" t="s">
        <v>63</v>
      </c>
      <c r="M47" s="7"/>
      <c r="N47" s="7"/>
      <c r="O47" s="7"/>
      <c r="P47" s="7"/>
      <c r="Q47" s="7"/>
      <c r="R47" s="90"/>
    </row>
    <row r="48" spans="1:18" ht="14.4" customHeight="1">
      <c r="A48" s="49"/>
      <c r="B48" s="148">
        <v>38473</v>
      </c>
      <c r="C48" s="149">
        <v>4.3483425078779101</v>
      </c>
      <c r="D48" s="150">
        <v>0</v>
      </c>
      <c r="E48" s="151">
        <f t="shared" si="0"/>
        <v>4.3483425078779101</v>
      </c>
      <c r="F48" s="149">
        <f t="shared" si="1"/>
        <v>0.17762111465536171</v>
      </c>
      <c r="G48" s="151">
        <f t="shared" si="2"/>
        <v>0.17762111465536171</v>
      </c>
      <c r="H48" s="152">
        <v>24.481000000000002</v>
      </c>
      <c r="I48" s="153">
        <v>3.8300000000000001E-2</v>
      </c>
      <c r="J48" s="154">
        <v>3.3000000000000002E-2</v>
      </c>
      <c r="K48" s="152">
        <f t="shared" si="3"/>
        <v>59.210263046581652</v>
      </c>
      <c r="L48" s="155" t="s">
        <v>63</v>
      </c>
      <c r="M48" s="7"/>
      <c r="N48" s="7"/>
      <c r="O48" s="7"/>
      <c r="P48" s="7"/>
      <c r="Q48" s="7"/>
      <c r="R48" s="90"/>
    </row>
    <row r="49" spans="1:18" ht="14.4" customHeight="1">
      <c r="A49" s="49"/>
      <c r="B49" s="148">
        <v>38504</v>
      </c>
      <c r="C49" s="149">
        <v>4.3335434253105003</v>
      </c>
      <c r="D49" s="150">
        <v>0</v>
      </c>
      <c r="E49" s="151">
        <f t="shared" si="0"/>
        <v>4.3335434253105003</v>
      </c>
      <c r="F49" s="149">
        <f t="shared" si="1"/>
        <v>0.17870282166228868</v>
      </c>
      <c r="G49" s="151">
        <f t="shared" si="2"/>
        <v>0.17870282166228868</v>
      </c>
      <c r="H49" s="152">
        <v>24.25</v>
      </c>
      <c r="I49" s="153">
        <v>3.8199999999999998E-2</v>
      </c>
      <c r="J49" s="154">
        <v>3.2199999999999999E-2</v>
      </c>
      <c r="K49" s="152">
        <f t="shared" si="3"/>
        <v>59.763120935989917</v>
      </c>
      <c r="L49" s="155" t="s">
        <v>63</v>
      </c>
      <c r="M49" s="7"/>
      <c r="N49" s="7"/>
      <c r="O49" s="7"/>
      <c r="P49" s="7"/>
      <c r="Q49" s="7"/>
      <c r="R49" s="90"/>
    </row>
    <row r="50" spans="1:18" ht="14.4" customHeight="1">
      <c r="A50" s="49"/>
      <c r="B50" s="148">
        <v>38534</v>
      </c>
      <c r="C50" s="149">
        <v>4.2936383620685499</v>
      </c>
      <c r="D50" s="150">
        <v>0</v>
      </c>
      <c r="E50" s="151">
        <f t="shared" si="0"/>
        <v>4.2936383620685499</v>
      </c>
      <c r="F50" s="149">
        <f t="shared" si="1"/>
        <v>0.17446722316410199</v>
      </c>
      <c r="G50" s="151">
        <f t="shared" si="2"/>
        <v>0.17446722316410199</v>
      </c>
      <c r="H50" s="152">
        <v>24.61</v>
      </c>
      <c r="I50" s="153">
        <v>3.6999999999999998E-2</v>
      </c>
      <c r="J50" s="154">
        <v>3.2000000000000001E-2</v>
      </c>
      <c r="K50" s="152">
        <f t="shared" si="3"/>
        <v>60.414216435465733</v>
      </c>
      <c r="L50" s="155" t="s">
        <v>63</v>
      </c>
      <c r="M50" s="7"/>
      <c r="N50" s="7"/>
      <c r="O50" s="7"/>
      <c r="P50" s="7"/>
      <c r="Q50" s="7"/>
      <c r="R50" s="90"/>
    </row>
    <row r="51" spans="1:18" ht="14.4" customHeight="1">
      <c r="A51" s="49"/>
      <c r="B51" s="148">
        <v>38565</v>
      </c>
      <c r="C51" s="149">
        <v>4.1173546849829297</v>
      </c>
      <c r="D51" s="150">
        <v>0</v>
      </c>
      <c r="E51" s="151">
        <f t="shared" si="0"/>
        <v>4.1173546849829297</v>
      </c>
      <c r="F51" s="149">
        <f t="shared" si="1"/>
        <v>0.16914611309600402</v>
      </c>
      <c r="G51" s="151">
        <f t="shared" si="2"/>
        <v>0.16914611309600402</v>
      </c>
      <c r="H51" s="152">
        <v>24.341999999999999</v>
      </c>
      <c r="I51" s="153">
        <v>3.5499999999999997E-2</v>
      </c>
      <c r="J51" s="154">
        <v>3.1899999999999998E-2</v>
      </c>
      <c r="K51" s="152">
        <f t="shared" si="3"/>
        <v>59.309076157168199</v>
      </c>
      <c r="L51" s="155" t="s">
        <v>63</v>
      </c>
      <c r="M51" s="7"/>
      <c r="N51" s="7"/>
      <c r="O51" s="7"/>
      <c r="P51" s="7"/>
      <c r="Q51" s="7"/>
      <c r="R51" s="90"/>
    </row>
    <row r="52" spans="1:18" ht="14.4" customHeight="1">
      <c r="A52" s="49"/>
      <c r="B52" s="148">
        <v>38596</v>
      </c>
      <c r="C52" s="149">
        <v>4.2229565526802197</v>
      </c>
      <c r="D52" s="150">
        <v>0</v>
      </c>
      <c r="E52" s="151">
        <f t="shared" si="0"/>
        <v>4.2229565526802197</v>
      </c>
      <c r="F52" s="149">
        <f t="shared" si="1"/>
        <v>0.1752991512113001</v>
      </c>
      <c r="G52" s="151">
        <f t="shared" si="2"/>
        <v>0.1752991512113001</v>
      </c>
      <c r="H52" s="152">
        <v>24.09</v>
      </c>
      <c r="I52" s="153">
        <v>3.5999999999999997E-2</v>
      </c>
      <c r="J52" s="154">
        <v>3.27E-2</v>
      </c>
      <c r="K52" s="152">
        <f t="shared" si="3"/>
        <v>59.679153102418276</v>
      </c>
      <c r="L52" s="155" t="s">
        <v>63</v>
      </c>
      <c r="M52" s="7"/>
      <c r="N52" s="7"/>
      <c r="O52" s="7"/>
      <c r="P52" s="7"/>
      <c r="Q52" s="7"/>
      <c r="R52" s="90"/>
    </row>
    <row r="53" spans="1:18" ht="14.4" customHeight="1">
      <c r="A53" s="49"/>
      <c r="B53" s="148">
        <v>38626</v>
      </c>
      <c r="C53" s="149">
        <v>4.1642437904236802</v>
      </c>
      <c r="D53" s="150">
        <v>0</v>
      </c>
      <c r="E53" s="151">
        <f t="shared" si="0"/>
        <v>4.1642437904236802</v>
      </c>
      <c r="F53" s="149">
        <f t="shared" si="1"/>
        <v>0.17651084225261446</v>
      </c>
      <c r="G53" s="151">
        <f t="shared" si="2"/>
        <v>0.17651084225261446</v>
      </c>
      <c r="H53" s="152">
        <v>23.591999999999999</v>
      </c>
      <c r="I53" s="153">
        <v>3.5799999999999998E-2</v>
      </c>
      <c r="J53" s="154">
        <v>3.2800000000000003E-2</v>
      </c>
      <c r="K53" s="152">
        <f t="shared" si="3"/>
        <v>58.935206069003939</v>
      </c>
      <c r="L53" s="155" t="s">
        <v>63</v>
      </c>
      <c r="M53" s="7"/>
      <c r="N53" s="7"/>
      <c r="O53" s="7"/>
      <c r="P53" s="7"/>
      <c r="Q53" s="7"/>
      <c r="R53" s="90"/>
    </row>
    <row r="54" spans="1:18" ht="14.4" customHeight="1">
      <c r="A54" s="49"/>
      <c r="B54" s="148">
        <v>38657</v>
      </c>
      <c r="C54" s="149">
        <v>4.1663259256106899</v>
      </c>
      <c r="D54" s="150">
        <v>0</v>
      </c>
      <c r="E54" s="151">
        <f t="shared" si="0"/>
        <v>4.1663259256106899</v>
      </c>
      <c r="F54" s="149">
        <f t="shared" si="1"/>
        <v>0.17713217659158581</v>
      </c>
      <c r="G54" s="151">
        <f t="shared" si="2"/>
        <v>0.17713217659158581</v>
      </c>
      <c r="H54" s="152">
        <v>23.521000000000001</v>
      </c>
      <c r="I54" s="153">
        <v>3.5099999999999999E-2</v>
      </c>
      <c r="J54" s="154">
        <v>3.1800000000000002E-2</v>
      </c>
      <c r="K54" s="152">
        <f t="shared" si="3"/>
        <v>60.463028801292893</v>
      </c>
      <c r="L54" s="155" t="s">
        <v>63</v>
      </c>
      <c r="M54" s="7"/>
      <c r="N54" s="7"/>
      <c r="O54" s="7"/>
      <c r="P54" s="7"/>
      <c r="Q54" s="7"/>
      <c r="R54" s="90"/>
    </row>
    <row r="55" spans="1:18" ht="14.4" customHeight="1">
      <c r="A55" s="49"/>
      <c r="B55" s="156">
        <v>38687</v>
      </c>
      <c r="C55" s="157">
        <v>4.1492099278294603</v>
      </c>
      <c r="D55" s="158">
        <v>0</v>
      </c>
      <c r="E55" s="159">
        <f t="shared" si="0"/>
        <v>4.1492099278294603</v>
      </c>
      <c r="F55" s="157">
        <f t="shared" si="1"/>
        <v>0.1754348622819103</v>
      </c>
      <c r="G55" s="159">
        <f t="shared" si="2"/>
        <v>0.1754348622819103</v>
      </c>
      <c r="H55" s="160">
        <v>23.651</v>
      </c>
      <c r="I55" s="161">
        <v>3.5299999999999998E-2</v>
      </c>
      <c r="J55" s="162">
        <v>3.0700000000000002E-2</v>
      </c>
      <c r="K55" s="160">
        <f t="shared" si="3"/>
        <v>61.035744745946744</v>
      </c>
      <c r="L55" s="163" t="s">
        <v>63</v>
      </c>
      <c r="M55" s="7"/>
      <c r="N55" s="7"/>
      <c r="O55" s="7"/>
      <c r="P55" s="7"/>
      <c r="Q55" s="7"/>
      <c r="R55" s="90"/>
    </row>
    <row r="56" spans="1:18" ht="14.4" customHeight="1">
      <c r="A56" s="49"/>
      <c r="B56" s="140">
        <v>38718</v>
      </c>
      <c r="C56" s="141">
        <v>3.9836137596799399</v>
      </c>
      <c r="D56" s="142">
        <v>0</v>
      </c>
      <c r="E56" s="143">
        <f t="shared" si="0"/>
        <v>3.9836137596799399</v>
      </c>
      <c r="F56" s="141">
        <f t="shared" si="1"/>
        <v>0.16471423442960265</v>
      </c>
      <c r="G56" s="143">
        <f t="shared" si="2"/>
        <v>0.16471423442960265</v>
      </c>
      <c r="H56" s="144">
        <v>24.184999999999999</v>
      </c>
      <c r="I56" s="145">
        <v>3.61E-2</v>
      </c>
      <c r="J56" s="146">
        <v>3.04E-2</v>
      </c>
      <c r="K56" s="144">
        <f t="shared" si="3"/>
        <v>58.159190593181101</v>
      </c>
      <c r="L56" s="147" t="s">
        <v>64</v>
      </c>
      <c r="M56" s="7"/>
      <c r="N56" s="7"/>
      <c r="O56" s="7"/>
      <c r="P56" s="7"/>
      <c r="Q56" s="7"/>
      <c r="R56" s="90"/>
    </row>
    <row r="57" spans="1:18" ht="14.4" customHeight="1">
      <c r="A57" s="49"/>
      <c r="B57" s="148">
        <v>38749</v>
      </c>
      <c r="C57" s="149">
        <v>4.07545936565006</v>
      </c>
      <c r="D57" s="150">
        <v>0</v>
      </c>
      <c r="E57" s="151">
        <f t="shared" si="0"/>
        <v>4.07545936565006</v>
      </c>
      <c r="F57" s="149">
        <f t="shared" si="1"/>
        <v>0.16819890076970945</v>
      </c>
      <c r="G57" s="151">
        <f t="shared" si="2"/>
        <v>0.16819890076970945</v>
      </c>
      <c r="H57" s="152">
        <v>24.23</v>
      </c>
      <c r="I57" s="153">
        <v>3.6600000000000001E-2</v>
      </c>
      <c r="J57" s="154">
        <v>3.1399999999999997E-2</v>
      </c>
      <c r="K57" s="152">
        <f t="shared" si="3"/>
        <v>58.187598024701018</v>
      </c>
      <c r="L57" s="155" t="s">
        <v>64</v>
      </c>
      <c r="M57" s="7"/>
      <c r="N57" s="7"/>
      <c r="O57" s="7"/>
      <c r="P57" s="7"/>
      <c r="Q57" s="7"/>
      <c r="R57" s="90"/>
    </row>
    <row r="58" spans="1:18" ht="14.4" customHeight="1">
      <c r="A58" s="49"/>
      <c r="B58" s="148">
        <v>38777</v>
      </c>
      <c r="C58" s="149">
        <v>4.4180741666050398</v>
      </c>
      <c r="D58" s="150">
        <v>0</v>
      </c>
      <c r="E58" s="151">
        <f t="shared" si="0"/>
        <v>4.4180741666050398</v>
      </c>
      <c r="F58" s="149">
        <f t="shared" si="1"/>
        <v>0.18203849058941243</v>
      </c>
      <c r="G58" s="151">
        <f t="shared" si="2"/>
        <v>0.18203849058941243</v>
      </c>
      <c r="H58" s="152">
        <v>24.27</v>
      </c>
      <c r="I58" s="153">
        <v>3.7900000000000003E-2</v>
      </c>
      <c r="J58" s="154">
        <v>3.2199999999999999E-2</v>
      </c>
      <c r="K58" s="152">
        <f t="shared" si="3"/>
        <v>61.189620467363405</v>
      </c>
      <c r="L58" s="155" t="s">
        <v>64</v>
      </c>
      <c r="M58" s="7"/>
      <c r="N58" s="7"/>
      <c r="O58" s="7"/>
      <c r="P58" s="7"/>
      <c r="Q58" s="7"/>
      <c r="R58" s="90"/>
    </row>
    <row r="59" spans="1:18" ht="14.4" customHeight="1">
      <c r="A59" s="49"/>
      <c r="B59" s="148">
        <v>38808</v>
      </c>
      <c r="C59" s="149">
        <v>4.4854991202477299</v>
      </c>
      <c r="D59" s="150">
        <v>0</v>
      </c>
      <c r="E59" s="151">
        <f t="shared" si="0"/>
        <v>4.4854991202477299</v>
      </c>
      <c r="F59" s="149">
        <f t="shared" si="1"/>
        <v>0.18614346683187658</v>
      </c>
      <c r="G59" s="151">
        <f t="shared" si="2"/>
        <v>0.18614346683187658</v>
      </c>
      <c r="H59" s="152">
        <v>24.097000000000001</v>
      </c>
      <c r="I59" s="153">
        <v>3.8100000000000002E-2</v>
      </c>
      <c r="J59" s="154">
        <v>3.27E-2</v>
      </c>
      <c r="K59" s="152">
        <f t="shared" si="3"/>
        <v>61.509230435079395</v>
      </c>
      <c r="L59" s="155" t="s">
        <v>64</v>
      </c>
      <c r="M59" s="7"/>
      <c r="N59" s="7"/>
      <c r="O59" s="7"/>
      <c r="P59" s="7"/>
      <c r="Q59" s="7"/>
      <c r="R59" s="90"/>
    </row>
    <row r="60" spans="1:18" ht="14.4" customHeight="1">
      <c r="A60" s="49"/>
      <c r="B60" s="148">
        <v>38838</v>
      </c>
      <c r="C60" s="149">
        <v>4.4652875560699403</v>
      </c>
      <c r="D60" s="150">
        <v>0</v>
      </c>
      <c r="E60" s="151">
        <f t="shared" si="0"/>
        <v>4.4652875560699403</v>
      </c>
      <c r="F60" s="149">
        <f t="shared" si="1"/>
        <v>0.18639537302011774</v>
      </c>
      <c r="G60" s="151">
        <f t="shared" si="2"/>
        <v>0.18639537302011774</v>
      </c>
      <c r="H60" s="152">
        <v>23.956</v>
      </c>
      <c r="I60" s="153">
        <v>3.7999999999999999E-2</v>
      </c>
      <c r="J60" s="154">
        <v>3.27E-2</v>
      </c>
      <c r="K60" s="152">
        <f t="shared" si="3"/>
        <v>61.3186794478233</v>
      </c>
      <c r="L60" s="155" t="s">
        <v>64</v>
      </c>
      <c r="M60" s="7"/>
      <c r="N60" s="7"/>
      <c r="O60" s="7"/>
      <c r="P60" s="7"/>
      <c r="Q60" s="7"/>
      <c r="R60" s="90"/>
    </row>
    <row r="61" spans="1:18" ht="14.4" customHeight="1">
      <c r="A61" s="49"/>
      <c r="B61" s="148">
        <v>38869</v>
      </c>
      <c r="C61" s="149">
        <v>4.4212880944671404</v>
      </c>
      <c r="D61" s="150">
        <v>0</v>
      </c>
      <c r="E61" s="151">
        <f t="shared" si="0"/>
        <v>4.4212880944671404</v>
      </c>
      <c r="F61" s="149">
        <f t="shared" si="1"/>
        <v>0.18513831474675016</v>
      </c>
      <c r="G61" s="151">
        <f t="shared" si="2"/>
        <v>0.18513831474675016</v>
      </c>
      <c r="H61" s="152">
        <v>23.881</v>
      </c>
      <c r="I61" s="153">
        <v>3.8199999999999998E-2</v>
      </c>
      <c r="J61" s="154">
        <v>3.1800000000000002E-2</v>
      </c>
      <c r="K61" s="152">
        <f t="shared" si="3"/>
        <v>61.321610186784191</v>
      </c>
      <c r="L61" s="155" t="s">
        <v>64</v>
      </c>
      <c r="M61" s="7"/>
      <c r="N61" s="7"/>
      <c r="O61" s="7"/>
      <c r="P61" s="7"/>
      <c r="Q61" s="7"/>
      <c r="R61" s="90"/>
    </row>
    <row r="62" spans="1:18" ht="14.4" customHeight="1">
      <c r="A62" s="49"/>
      <c r="B62" s="148">
        <v>38899</v>
      </c>
      <c r="C62" s="149">
        <v>4.3529882668523499</v>
      </c>
      <c r="D62" s="150">
        <v>0</v>
      </c>
      <c r="E62" s="151">
        <f t="shared" si="0"/>
        <v>4.3529882668523499</v>
      </c>
      <c r="F62" s="149">
        <f t="shared" si="1"/>
        <v>0.18173798709303396</v>
      </c>
      <c r="G62" s="151">
        <f t="shared" si="2"/>
        <v>0.18173798709303396</v>
      </c>
      <c r="H62" s="152">
        <v>23.952000000000002</v>
      </c>
      <c r="I62" s="153">
        <v>3.6799999999999999E-2</v>
      </c>
      <c r="J62" s="154">
        <v>3.1800000000000002E-2</v>
      </c>
      <c r="K62" s="152">
        <f t="shared" si="3"/>
        <v>61.606446076202978</v>
      </c>
      <c r="L62" s="155" t="s">
        <v>64</v>
      </c>
      <c r="M62" s="7"/>
      <c r="N62" s="7"/>
      <c r="O62" s="7"/>
      <c r="P62" s="7"/>
      <c r="Q62" s="7"/>
      <c r="R62" s="90"/>
    </row>
    <row r="63" spans="1:18" ht="14.4" customHeight="1">
      <c r="A63" s="49"/>
      <c r="B63" s="148">
        <v>38930</v>
      </c>
      <c r="C63" s="149">
        <v>4.15747128390763</v>
      </c>
      <c r="D63" s="150">
        <v>0</v>
      </c>
      <c r="E63" s="151">
        <f t="shared" si="0"/>
        <v>4.15747128390763</v>
      </c>
      <c r="F63" s="149">
        <f t="shared" si="1"/>
        <v>0.17371291872759914</v>
      </c>
      <c r="G63" s="151">
        <f t="shared" si="2"/>
        <v>0.17371291872759914</v>
      </c>
      <c r="H63" s="152">
        <v>23.933</v>
      </c>
      <c r="I63" s="153">
        <v>3.5700000000000003E-2</v>
      </c>
      <c r="J63" s="154">
        <v>3.2500000000000001E-2</v>
      </c>
      <c r="K63" s="152">
        <f t="shared" si="3"/>
        <v>59.184455825351321</v>
      </c>
      <c r="L63" s="155" t="s">
        <v>64</v>
      </c>
      <c r="M63" s="7"/>
      <c r="N63" s="7"/>
      <c r="O63" s="7"/>
      <c r="P63" s="7"/>
      <c r="Q63" s="7"/>
      <c r="R63" s="90"/>
    </row>
    <row r="64" spans="1:18" ht="14.4" customHeight="1">
      <c r="A64" s="49"/>
      <c r="B64" s="148">
        <v>38961</v>
      </c>
      <c r="C64" s="149">
        <v>3.87553338670428</v>
      </c>
      <c r="D64" s="150">
        <v>0</v>
      </c>
      <c r="E64" s="151">
        <f t="shared" si="0"/>
        <v>3.87553338670428</v>
      </c>
      <c r="F64" s="149">
        <f t="shared" si="1"/>
        <v>0.16164894209402628</v>
      </c>
      <c r="G64" s="151">
        <f t="shared" si="2"/>
        <v>0.16164894209402628</v>
      </c>
      <c r="H64" s="152">
        <v>23.975000000000001</v>
      </c>
      <c r="I64" s="153">
        <v>3.5499999999999997E-2</v>
      </c>
      <c r="J64" s="154">
        <v>3.2899999999999999E-2</v>
      </c>
      <c r="K64" s="152">
        <f t="shared" si="3"/>
        <v>55.009558092095048</v>
      </c>
      <c r="L64" s="155" t="s">
        <v>64</v>
      </c>
      <c r="M64" s="7"/>
      <c r="N64" s="7"/>
      <c r="O64" s="7"/>
      <c r="P64" s="7"/>
      <c r="Q64" s="7"/>
      <c r="R64" s="90"/>
    </row>
    <row r="65" spans="1:18" ht="14.4" customHeight="1">
      <c r="A65" s="49"/>
      <c r="B65" s="148">
        <v>38991</v>
      </c>
      <c r="C65" s="149">
        <v>3.8233563182014301</v>
      </c>
      <c r="D65" s="150">
        <v>0</v>
      </c>
      <c r="E65" s="151">
        <f t="shared" si="0"/>
        <v>3.8233563182014301</v>
      </c>
      <c r="F65" s="149">
        <f t="shared" si="1"/>
        <v>0.16026812199033491</v>
      </c>
      <c r="G65" s="151">
        <f t="shared" si="2"/>
        <v>0.16026812199033491</v>
      </c>
      <c r="H65" s="152">
        <v>23.856000000000002</v>
      </c>
      <c r="I65" s="153">
        <v>3.5299999999999998E-2</v>
      </c>
      <c r="J65" s="154">
        <v>3.2599999999999997E-2</v>
      </c>
      <c r="K65" s="152">
        <f t="shared" si="3"/>
        <v>54.668577694230962</v>
      </c>
      <c r="L65" s="155" t="s">
        <v>64</v>
      </c>
      <c r="M65" s="7"/>
      <c r="N65" s="7"/>
      <c r="O65" s="7"/>
      <c r="P65" s="7"/>
      <c r="Q65" s="7"/>
      <c r="R65" s="90"/>
    </row>
    <row r="66" spans="1:18" ht="14.4" customHeight="1">
      <c r="A66" s="49"/>
      <c r="B66" s="148">
        <v>39022</v>
      </c>
      <c r="C66" s="149">
        <v>3.7759465837253501</v>
      </c>
      <c r="D66" s="150">
        <v>0</v>
      </c>
      <c r="E66" s="151">
        <f t="shared" si="0"/>
        <v>3.7759465837253501</v>
      </c>
      <c r="F66" s="149">
        <f t="shared" si="1"/>
        <v>0.1566847829256546</v>
      </c>
      <c r="G66" s="151">
        <f t="shared" si="2"/>
        <v>0.1566847829256546</v>
      </c>
      <c r="H66" s="152">
        <v>24.099</v>
      </c>
      <c r="I66" s="153">
        <v>3.5400000000000001E-2</v>
      </c>
      <c r="J66" s="154">
        <v>3.1600000000000003E-2</v>
      </c>
      <c r="K66" s="152">
        <f t="shared" si="3"/>
        <v>54.71593368678959</v>
      </c>
      <c r="L66" s="155" t="s">
        <v>64</v>
      </c>
      <c r="M66" s="7"/>
      <c r="N66" s="7"/>
      <c r="O66" s="7"/>
      <c r="P66" s="7"/>
      <c r="Q66" s="7"/>
      <c r="R66" s="90"/>
    </row>
    <row r="67" spans="1:18" ht="14.4" customHeight="1">
      <c r="A67" s="49"/>
      <c r="B67" s="156">
        <v>39052</v>
      </c>
      <c r="C67" s="157">
        <v>3.7215982735167499</v>
      </c>
      <c r="D67" s="158">
        <v>0</v>
      </c>
      <c r="E67" s="159">
        <f t="shared" si="0"/>
        <v>3.7215982735167499</v>
      </c>
      <c r="F67" s="157">
        <f t="shared" si="1"/>
        <v>0.1522188340429772</v>
      </c>
      <c r="G67" s="159">
        <f t="shared" si="2"/>
        <v>0.1522188340429772</v>
      </c>
      <c r="H67" s="160">
        <v>24.449000000000002</v>
      </c>
      <c r="I67" s="161">
        <v>3.5900000000000001E-2</v>
      </c>
      <c r="J67" s="162">
        <v>3.0599999999999999E-2</v>
      </c>
      <c r="K67" s="160">
        <f t="shared" si="3"/>
        <v>54.333867778914509</v>
      </c>
      <c r="L67" s="163" t="s">
        <v>64</v>
      </c>
      <c r="M67" s="7"/>
      <c r="N67" s="7"/>
      <c r="O67" s="7"/>
      <c r="P67" s="7"/>
      <c r="Q67" s="7"/>
      <c r="R67" s="90"/>
    </row>
    <row r="68" spans="1:18" ht="14.4" customHeight="1">
      <c r="A68" s="49"/>
      <c r="B68" s="140">
        <v>39083</v>
      </c>
      <c r="C68" s="141">
        <v>4.2183971560830802</v>
      </c>
      <c r="D68" s="142">
        <v>0</v>
      </c>
      <c r="E68" s="143">
        <f t="shared" si="0"/>
        <v>4.2183971560830802</v>
      </c>
      <c r="F68" s="141">
        <f t="shared" si="1"/>
        <v>0.17272231732723584</v>
      </c>
      <c r="G68" s="143">
        <f t="shared" si="2"/>
        <v>0.17272231732723584</v>
      </c>
      <c r="H68" s="144">
        <v>24.422999999999998</v>
      </c>
      <c r="I68" s="145">
        <v>3.6799999999999999E-2</v>
      </c>
      <c r="J68" s="146">
        <v>3.09E-2</v>
      </c>
      <c r="K68" s="144">
        <f t="shared" si="3"/>
        <v>60.495291277668194</v>
      </c>
      <c r="L68" s="147" t="s">
        <v>65</v>
      </c>
      <c r="M68" s="7"/>
      <c r="N68" s="7"/>
      <c r="O68" s="7"/>
      <c r="P68" s="7"/>
      <c r="Q68" s="7"/>
      <c r="R68" s="90"/>
    </row>
    <row r="69" spans="1:18" ht="14.4" customHeight="1">
      <c r="A69" s="49"/>
      <c r="B69" s="148">
        <v>39114</v>
      </c>
      <c r="C69" s="149">
        <v>4.3301085522307696</v>
      </c>
      <c r="D69" s="150">
        <v>0</v>
      </c>
      <c r="E69" s="151">
        <f t="shared" si="0"/>
        <v>4.3301085522307696</v>
      </c>
      <c r="F69" s="149">
        <f t="shared" si="1"/>
        <v>0.17818643480641824</v>
      </c>
      <c r="G69" s="151">
        <f t="shared" si="2"/>
        <v>0.17818643480641824</v>
      </c>
      <c r="H69" s="152">
        <v>24.300999999999998</v>
      </c>
      <c r="I69" s="153">
        <v>3.7499999999999999E-2</v>
      </c>
      <c r="J69" s="154">
        <v>3.1199999999999999E-2</v>
      </c>
      <c r="K69" s="152">
        <f t="shared" si="3"/>
        <v>61.193433561294633</v>
      </c>
      <c r="L69" s="155" t="s">
        <v>65</v>
      </c>
      <c r="M69" s="7"/>
      <c r="N69" s="7"/>
      <c r="O69" s="7"/>
      <c r="P69" s="7"/>
      <c r="Q69" s="7"/>
      <c r="R69" s="90"/>
    </row>
    <row r="70" spans="1:18" ht="14.4" customHeight="1">
      <c r="A70" s="49"/>
      <c r="B70" s="148">
        <v>39142</v>
      </c>
      <c r="C70" s="149">
        <v>4.9077779215526904</v>
      </c>
      <c r="D70" s="150">
        <v>0</v>
      </c>
      <c r="E70" s="151">
        <f t="shared" si="0"/>
        <v>4.9077779215526904</v>
      </c>
      <c r="F70" s="149">
        <f t="shared" si="1"/>
        <v>0.20204931747849694</v>
      </c>
      <c r="G70" s="151">
        <f t="shared" si="2"/>
        <v>0.20204931747849694</v>
      </c>
      <c r="H70" s="152">
        <v>24.29</v>
      </c>
      <c r="I70" s="153">
        <v>3.8800000000000001E-2</v>
      </c>
      <c r="J70" s="154">
        <v>3.2199999999999999E-2</v>
      </c>
      <c r="K70" s="152">
        <f t="shared" si="3"/>
        <v>67.110323007694376</v>
      </c>
      <c r="L70" s="155" t="s">
        <v>65</v>
      </c>
      <c r="M70" s="7"/>
      <c r="N70" s="7"/>
      <c r="O70" s="7"/>
      <c r="P70" s="7"/>
      <c r="Q70" s="7"/>
      <c r="R70" s="90"/>
    </row>
    <row r="71" spans="1:18" ht="14.4" customHeight="1">
      <c r="A71" s="49"/>
      <c r="B71" s="148">
        <v>39173</v>
      </c>
      <c r="C71" s="149">
        <v>5.1923896583900904</v>
      </c>
      <c r="D71" s="150">
        <v>0</v>
      </c>
      <c r="E71" s="151">
        <f t="shared" si="0"/>
        <v>5.1923896583900904</v>
      </c>
      <c r="F71" s="149">
        <f t="shared" si="1"/>
        <v>0.21558603522483247</v>
      </c>
      <c r="G71" s="151">
        <f t="shared" si="2"/>
        <v>0.21558603522483247</v>
      </c>
      <c r="H71" s="152">
        <v>24.085000000000001</v>
      </c>
      <c r="I71" s="153">
        <v>3.9300000000000002E-2</v>
      </c>
      <c r="J71" s="154">
        <v>3.2300000000000002E-2</v>
      </c>
      <c r="K71" s="152">
        <f t="shared" si="3"/>
        <v>70.407192851197195</v>
      </c>
      <c r="L71" s="155" t="s">
        <v>65</v>
      </c>
      <c r="M71" s="7"/>
      <c r="N71" s="7"/>
      <c r="O71" s="7"/>
      <c r="P71" s="7"/>
      <c r="Q71" s="7"/>
      <c r="R71" s="90"/>
    </row>
    <row r="72" spans="1:18" ht="14.4" customHeight="1">
      <c r="A72" s="49"/>
      <c r="B72" s="148">
        <v>39203</v>
      </c>
      <c r="C72" s="149">
        <v>5.9008064635337503</v>
      </c>
      <c r="D72" s="150">
        <v>0</v>
      </c>
      <c r="E72" s="151">
        <f t="shared" ref="E72:E135" si="4">C72-D72</f>
        <v>5.9008064635337503</v>
      </c>
      <c r="F72" s="149">
        <f t="shared" ref="F72:F135" si="5">C72/H72</f>
        <v>0.24594891895355744</v>
      </c>
      <c r="G72" s="151">
        <f t="shared" ref="G72:G135" si="6">E72/H72</f>
        <v>0.24594891895355744</v>
      </c>
      <c r="H72" s="152">
        <v>23.992000000000001</v>
      </c>
      <c r="I72" s="153">
        <v>3.9E-2</v>
      </c>
      <c r="J72" s="154">
        <v>3.2500000000000001E-2</v>
      </c>
      <c r="K72" s="152">
        <f t="shared" ref="K72:K135" si="7">C72/1.03/(I72+J72)</f>
        <v>80.12501138615994</v>
      </c>
      <c r="L72" s="155" t="s">
        <v>65</v>
      </c>
      <c r="M72" s="7"/>
      <c r="N72" s="7"/>
      <c r="O72" s="7"/>
      <c r="P72" s="7"/>
      <c r="Q72" s="7"/>
      <c r="R72" s="90"/>
    </row>
    <row r="73" spans="1:18" ht="14.4" customHeight="1">
      <c r="A73" s="49"/>
      <c r="B73" s="148">
        <v>39234</v>
      </c>
      <c r="C73" s="149">
        <v>5.8534151237514003</v>
      </c>
      <c r="D73" s="150">
        <v>0</v>
      </c>
      <c r="E73" s="151">
        <f t="shared" si="4"/>
        <v>5.8534151237514003</v>
      </c>
      <c r="F73" s="149">
        <f t="shared" si="5"/>
        <v>0.24483081494693826</v>
      </c>
      <c r="G73" s="151">
        <f t="shared" si="6"/>
        <v>0.24483081494693826</v>
      </c>
      <c r="H73" s="152">
        <v>23.908000000000001</v>
      </c>
      <c r="I73" s="153">
        <v>3.8100000000000002E-2</v>
      </c>
      <c r="J73" s="154">
        <v>3.1899999999999998E-2</v>
      </c>
      <c r="K73" s="152">
        <f t="shared" si="7"/>
        <v>81.184675780185842</v>
      </c>
      <c r="L73" s="155" t="s">
        <v>65</v>
      </c>
      <c r="M73" s="7"/>
      <c r="N73" s="7"/>
      <c r="O73" s="7"/>
      <c r="P73" s="7"/>
      <c r="Q73" s="7"/>
      <c r="R73" s="90"/>
    </row>
    <row r="74" spans="1:18" ht="14.4" customHeight="1">
      <c r="A74" s="49"/>
      <c r="B74" s="148">
        <v>39264</v>
      </c>
      <c r="C74" s="149">
        <v>5.7613737465225503</v>
      </c>
      <c r="D74" s="150">
        <v>0</v>
      </c>
      <c r="E74" s="151">
        <f t="shared" si="4"/>
        <v>5.7613737465225503</v>
      </c>
      <c r="F74" s="149">
        <f t="shared" si="5"/>
        <v>0.24209487127164261</v>
      </c>
      <c r="G74" s="151">
        <f t="shared" si="6"/>
        <v>0.24209487127164261</v>
      </c>
      <c r="H74" s="152">
        <v>23.797999999999998</v>
      </c>
      <c r="I74" s="153">
        <v>3.7199999999999997E-2</v>
      </c>
      <c r="J74" s="154">
        <v>3.1600000000000003E-2</v>
      </c>
      <c r="K74" s="152">
        <f t="shared" si="7"/>
        <v>81.301842212160622</v>
      </c>
      <c r="L74" s="155" t="s">
        <v>65</v>
      </c>
      <c r="M74" s="7"/>
      <c r="N74" s="7"/>
      <c r="O74" s="7"/>
      <c r="P74" s="7"/>
      <c r="Q74" s="7"/>
      <c r="R74" s="90"/>
    </row>
    <row r="75" spans="1:18" ht="14.4" customHeight="1">
      <c r="A75" s="49"/>
      <c r="B75" s="148">
        <v>39295</v>
      </c>
      <c r="C75" s="149">
        <v>6.5213279999999996</v>
      </c>
      <c r="D75" s="150">
        <v>0</v>
      </c>
      <c r="E75" s="151">
        <f t="shared" si="4"/>
        <v>6.5213279999999996</v>
      </c>
      <c r="F75" s="149">
        <f t="shared" si="5"/>
        <v>0.27599999999999997</v>
      </c>
      <c r="G75" s="151">
        <f t="shared" si="6"/>
        <v>0.27599999999999997</v>
      </c>
      <c r="H75" s="152">
        <v>23.628</v>
      </c>
      <c r="I75" s="153">
        <v>3.6200000000000003E-2</v>
      </c>
      <c r="J75" s="154">
        <v>3.15E-2</v>
      </c>
      <c r="K75" s="152">
        <f t="shared" si="7"/>
        <v>93.52121724914312</v>
      </c>
      <c r="L75" s="155" t="s">
        <v>65</v>
      </c>
      <c r="M75" s="7"/>
      <c r="N75" s="7"/>
      <c r="O75" s="7"/>
      <c r="P75" s="7"/>
      <c r="Q75" s="7"/>
      <c r="R75" s="90"/>
    </row>
    <row r="76" spans="1:18" ht="14.4" customHeight="1">
      <c r="A76" s="49"/>
      <c r="B76" s="148">
        <v>39326</v>
      </c>
      <c r="C76" s="149">
        <v>7.2393999999999998</v>
      </c>
      <c r="D76" s="150">
        <v>0</v>
      </c>
      <c r="E76" s="151">
        <f t="shared" si="4"/>
        <v>7.2393999999999998</v>
      </c>
      <c r="F76" s="149">
        <f t="shared" si="5"/>
        <v>0.31150602409638556</v>
      </c>
      <c r="G76" s="151">
        <f t="shared" si="6"/>
        <v>0.31150602409638556</v>
      </c>
      <c r="H76" s="152">
        <v>23.24</v>
      </c>
      <c r="I76" s="153">
        <v>3.4799999999999998E-2</v>
      </c>
      <c r="J76" s="154">
        <v>3.2000000000000001E-2</v>
      </c>
      <c r="K76" s="152">
        <f t="shared" si="7"/>
        <v>105.21771990000582</v>
      </c>
      <c r="L76" s="155" t="s">
        <v>65</v>
      </c>
      <c r="M76" s="7"/>
      <c r="N76" s="7"/>
      <c r="O76" s="7"/>
      <c r="P76" s="7"/>
      <c r="Q76" s="7"/>
      <c r="R76" s="90"/>
    </row>
    <row r="77" spans="1:18" ht="14.4" customHeight="1">
      <c r="A77" s="49"/>
      <c r="B77" s="148">
        <v>39356</v>
      </c>
      <c r="C77" s="149">
        <v>7.3669159999999998</v>
      </c>
      <c r="D77" s="150">
        <v>0</v>
      </c>
      <c r="E77" s="151">
        <f t="shared" si="4"/>
        <v>7.3669159999999998</v>
      </c>
      <c r="F77" s="149">
        <f t="shared" si="5"/>
        <v>0.33079999999999998</v>
      </c>
      <c r="G77" s="151">
        <f t="shared" si="6"/>
        <v>0.33079999999999998</v>
      </c>
      <c r="H77" s="152">
        <v>22.27</v>
      </c>
      <c r="I77" s="153">
        <v>3.49E-2</v>
      </c>
      <c r="J77" s="154">
        <v>3.1800000000000002E-2</v>
      </c>
      <c r="K77" s="152">
        <f t="shared" si="7"/>
        <v>107.23156868167857</v>
      </c>
      <c r="L77" s="155" t="s">
        <v>65</v>
      </c>
      <c r="M77" s="7"/>
      <c r="N77" s="7"/>
      <c r="O77" s="7"/>
      <c r="P77" s="7"/>
      <c r="Q77" s="7"/>
      <c r="R77" s="90"/>
    </row>
    <row r="78" spans="1:18" ht="14.4" customHeight="1">
      <c r="A78" s="49"/>
      <c r="B78" s="148">
        <v>39387</v>
      </c>
      <c r="C78" s="149">
        <v>7.2737249999999998</v>
      </c>
      <c r="D78" s="150">
        <v>0</v>
      </c>
      <c r="E78" s="151">
        <f t="shared" si="4"/>
        <v>7.2737249999999998</v>
      </c>
      <c r="F78" s="149">
        <f t="shared" si="5"/>
        <v>0.33099999999999996</v>
      </c>
      <c r="G78" s="151">
        <f t="shared" si="6"/>
        <v>0.33099999999999996</v>
      </c>
      <c r="H78" s="152">
        <v>21.975000000000001</v>
      </c>
      <c r="I78" s="153">
        <v>3.4700000000000002E-2</v>
      </c>
      <c r="J78" s="154">
        <v>3.1399999999999997E-2</v>
      </c>
      <c r="K78" s="152">
        <f t="shared" si="7"/>
        <v>106.83614118061777</v>
      </c>
      <c r="L78" s="155" t="s">
        <v>65</v>
      </c>
      <c r="M78" s="7"/>
      <c r="N78" s="7"/>
      <c r="O78" s="7"/>
      <c r="P78" s="7"/>
      <c r="Q78" s="7"/>
      <c r="R78" s="90"/>
    </row>
    <row r="79" spans="1:18" ht="14.4" customHeight="1">
      <c r="A79" s="164"/>
      <c r="B79" s="156">
        <v>39417</v>
      </c>
      <c r="C79" s="157">
        <v>7.5358007999999996</v>
      </c>
      <c r="D79" s="158">
        <v>0</v>
      </c>
      <c r="E79" s="159">
        <f t="shared" si="4"/>
        <v>7.5358007999999996</v>
      </c>
      <c r="F79" s="157">
        <f t="shared" si="5"/>
        <v>0.34739999999999999</v>
      </c>
      <c r="G79" s="159">
        <f t="shared" si="6"/>
        <v>0.34739999999999999</v>
      </c>
      <c r="H79" s="160">
        <v>21.692</v>
      </c>
      <c r="I79" s="161">
        <v>3.4700000000000002E-2</v>
      </c>
      <c r="J79" s="162">
        <v>3.0499999999999999E-2</v>
      </c>
      <c r="K79" s="160">
        <f t="shared" si="7"/>
        <v>112.21336589433555</v>
      </c>
      <c r="L79" s="163" t="s">
        <v>65</v>
      </c>
      <c r="M79" s="7"/>
      <c r="N79" s="7"/>
      <c r="O79" s="7"/>
      <c r="P79" s="7"/>
      <c r="Q79" s="7"/>
      <c r="R79" s="90"/>
    </row>
    <row r="80" spans="1:18" ht="14.4" customHeight="1">
      <c r="A80" s="49"/>
      <c r="B80" s="140">
        <v>39448</v>
      </c>
      <c r="C80" s="141">
        <v>7.98604</v>
      </c>
      <c r="D80" s="142">
        <v>0</v>
      </c>
      <c r="E80" s="143">
        <f t="shared" si="4"/>
        <v>7.98604</v>
      </c>
      <c r="F80" s="141">
        <f t="shared" si="5"/>
        <v>0.37670000000000003</v>
      </c>
      <c r="G80" s="143">
        <f t="shared" si="6"/>
        <v>0.37670000000000003</v>
      </c>
      <c r="H80" s="144">
        <v>21.2</v>
      </c>
      <c r="I80" s="145">
        <v>3.5900000000000001E-2</v>
      </c>
      <c r="J80" s="146">
        <v>3.0599999999999999E-2</v>
      </c>
      <c r="K80" s="144">
        <f t="shared" si="7"/>
        <v>116.5930359880283</v>
      </c>
      <c r="L80" s="147" t="s">
        <v>66</v>
      </c>
      <c r="M80" s="7"/>
      <c r="N80" s="7"/>
      <c r="O80" s="7"/>
      <c r="P80" s="7"/>
      <c r="Q80" s="7"/>
      <c r="R80" s="90"/>
    </row>
    <row r="81" spans="1:18" ht="14.4" customHeight="1">
      <c r="A81" s="49"/>
      <c r="B81" s="148">
        <v>39479</v>
      </c>
      <c r="C81" s="149">
        <v>8.1486803999999999</v>
      </c>
      <c r="D81" s="150">
        <v>0</v>
      </c>
      <c r="E81" s="151">
        <f t="shared" si="4"/>
        <v>8.1486803999999999</v>
      </c>
      <c r="F81" s="149">
        <f t="shared" si="5"/>
        <v>0.38919999999999999</v>
      </c>
      <c r="G81" s="151">
        <f t="shared" si="6"/>
        <v>0.38919999999999999</v>
      </c>
      <c r="H81" s="152">
        <v>20.937000000000001</v>
      </c>
      <c r="I81" s="153">
        <v>3.6700000000000003E-2</v>
      </c>
      <c r="J81" s="154">
        <v>3.1699999999999999E-2</v>
      </c>
      <c r="K81" s="152">
        <f t="shared" si="7"/>
        <v>115.66286833588826</v>
      </c>
      <c r="L81" s="155" t="s">
        <v>66</v>
      </c>
      <c r="M81" s="7"/>
      <c r="N81" s="7"/>
      <c r="O81" s="7"/>
      <c r="P81" s="7"/>
      <c r="Q81" s="7"/>
      <c r="R81" s="90"/>
    </row>
    <row r="82" spans="1:18" ht="14.4" customHeight="1">
      <c r="A82" s="49"/>
      <c r="B82" s="148">
        <v>39508</v>
      </c>
      <c r="C82" s="149">
        <v>8.3087622360826892</v>
      </c>
      <c r="D82" s="150">
        <v>0</v>
      </c>
      <c r="E82" s="151">
        <f t="shared" si="4"/>
        <v>8.3087622360826892</v>
      </c>
      <c r="F82" s="149">
        <f t="shared" si="5"/>
        <v>0.40282954698354934</v>
      </c>
      <c r="G82" s="151">
        <f t="shared" si="6"/>
        <v>0.40282954698354934</v>
      </c>
      <c r="H82" s="152">
        <v>20.626000000000001</v>
      </c>
      <c r="I82" s="153">
        <v>3.8100000000000002E-2</v>
      </c>
      <c r="J82" s="154">
        <v>3.2300000000000002E-2</v>
      </c>
      <c r="K82" s="152">
        <f t="shared" si="7"/>
        <v>114.58465131402649</v>
      </c>
      <c r="L82" s="155" t="s">
        <v>66</v>
      </c>
      <c r="M82" s="7"/>
      <c r="N82" s="7"/>
      <c r="O82" s="7"/>
      <c r="P82" s="7"/>
      <c r="Q82" s="7"/>
      <c r="R82" s="90"/>
    </row>
    <row r="83" spans="1:18" ht="14.4" customHeight="1">
      <c r="A83" s="49"/>
      <c r="B83" s="148">
        <v>39539</v>
      </c>
      <c r="C83" s="149">
        <v>8.5299999999999994</v>
      </c>
      <c r="D83" s="150">
        <v>0</v>
      </c>
      <c r="E83" s="151">
        <f t="shared" si="4"/>
        <v>8.5299999999999994</v>
      </c>
      <c r="F83" s="149">
        <f t="shared" si="5"/>
        <v>0.42793357748457328</v>
      </c>
      <c r="G83" s="151">
        <f t="shared" si="6"/>
        <v>0.42793357748457328</v>
      </c>
      <c r="H83" s="152">
        <v>19.933</v>
      </c>
      <c r="I83" s="153">
        <v>3.8399999999999997E-2</v>
      </c>
      <c r="J83" s="154">
        <v>3.27E-2</v>
      </c>
      <c r="K83" s="152">
        <f t="shared" si="7"/>
        <v>116.47754427648738</v>
      </c>
      <c r="L83" s="155" t="s">
        <v>66</v>
      </c>
      <c r="M83" s="7"/>
      <c r="N83" s="7"/>
      <c r="O83" s="7"/>
      <c r="P83" s="7"/>
      <c r="Q83" s="7"/>
      <c r="R83" s="90"/>
    </row>
    <row r="84" spans="1:18" ht="14.4" customHeight="1">
      <c r="A84" s="49"/>
      <c r="B84" s="148">
        <v>39569</v>
      </c>
      <c r="C84" s="149">
        <v>8.49</v>
      </c>
      <c r="D84" s="150">
        <v>0</v>
      </c>
      <c r="E84" s="151">
        <f t="shared" si="4"/>
        <v>8.49</v>
      </c>
      <c r="F84" s="149">
        <f t="shared" si="5"/>
        <v>0.42719130522290433</v>
      </c>
      <c r="G84" s="151">
        <f t="shared" si="6"/>
        <v>0.42719130522290433</v>
      </c>
      <c r="H84" s="152">
        <v>19.873999999999999</v>
      </c>
      <c r="I84" s="153">
        <v>3.8800000000000001E-2</v>
      </c>
      <c r="J84" s="154">
        <v>3.2399999999999998E-2</v>
      </c>
      <c r="K84" s="152">
        <f t="shared" si="7"/>
        <v>115.76851750845424</v>
      </c>
      <c r="L84" s="155" t="s">
        <v>66</v>
      </c>
      <c r="M84" s="7"/>
      <c r="N84" s="7"/>
      <c r="O84" s="7"/>
      <c r="P84" s="7"/>
      <c r="Q84" s="7"/>
      <c r="R84" s="90"/>
    </row>
    <row r="85" spans="1:18" ht="14.4" customHeight="1">
      <c r="A85" s="49"/>
      <c r="B85" s="148">
        <v>39600</v>
      </c>
      <c r="C85" s="149">
        <v>8.5</v>
      </c>
      <c r="D85" s="150">
        <v>0</v>
      </c>
      <c r="E85" s="151">
        <f t="shared" si="4"/>
        <v>8.5</v>
      </c>
      <c r="F85" s="149">
        <f t="shared" si="5"/>
        <v>0.4360315994665025</v>
      </c>
      <c r="G85" s="151">
        <f t="shared" si="6"/>
        <v>0.4360315994665025</v>
      </c>
      <c r="H85" s="152">
        <v>19.494</v>
      </c>
      <c r="I85" s="153">
        <v>3.8800000000000001E-2</v>
      </c>
      <c r="J85" s="154">
        <v>3.2300000000000002E-2</v>
      </c>
      <c r="K85" s="152">
        <f t="shared" si="7"/>
        <v>116.06789288981743</v>
      </c>
      <c r="L85" s="155" t="s">
        <v>66</v>
      </c>
      <c r="M85" s="7"/>
      <c r="N85" s="7"/>
      <c r="O85" s="7"/>
      <c r="P85" s="7"/>
      <c r="Q85" s="7"/>
      <c r="R85" s="90"/>
    </row>
    <row r="86" spans="1:18" ht="14.4" customHeight="1">
      <c r="A86" s="49"/>
      <c r="B86" s="148">
        <v>39630</v>
      </c>
      <c r="C86" s="149">
        <v>8</v>
      </c>
      <c r="D86" s="150">
        <v>0</v>
      </c>
      <c r="E86" s="151">
        <f t="shared" si="4"/>
        <v>8</v>
      </c>
      <c r="F86" s="149">
        <f t="shared" si="5"/>
        <v>0.41554124246831503</v>
      </c>
      <c r="G86" s="151">
        <f t="shared" si="6"/>
        <v>0.41554124246831503</v>
      </c>
      <c r="H86" s="152">
        <v>19.251999999999999</v>
      </c>
      <c r="I86" s="153">
        <v>3.7100000000000001E-2</v>
      </c>
      <c r="J86" s="154">
        <v>3.2099999999999997E-2</v>
      </c>
      <c r="K86" s="152">
        <f t="shared" si="7"/>
        <v>112.23974409338348</v>
      </c>
      <c r="L86" s="155" t="s">
        <v>66</v>
      </c>
      <c r="M86" s="7"/>
      <c r="N86" s="7"/>
      <c r="O86" s="7"/>
      <c r="P86" s="7"/>
      <c r="Q86" s="7"/>
      <c r="R86" s="90"/>
    </row>
    <row r="87" spans="1:18" ht="14.4" customHeight="1">
      <c r="A87" s="49"/>
      <c r="B87" s="148">
        <v>39661</v>
      </c>
      <c r="C87" s="149">
        <v>7.1725702990707996</v>
      </c>
      <c r="D87" s="150">
        <v>0</v>
      </c>
      <c r="E87" s="151">
        <f t="shared" si="4"/>
        <v>7.1725702990707996</v>
      </c>
      <c r="F87" s="149">
        <f t="shared" si="5"/>
        <v>0.3732408960332414</v>
      </c>
      <c r="G87" s="151">
        <f t="shared" si="6"/>
        <v>0.3732408960332414</v>
      </c>
      <c r="H87" s="152">
        <v>19.216999999999999</v>
      </c>
      <c r="I87" s="153">
        <v>3.5900000000000001E-2</v>
      </c>
      <c r="J87" s="154">
        <v>3.2800000000000003E-2</v>
      </c>
      <c r="K87" s="152">
        <f t="shared" si="7"/>
        <v>101.36332583020022</v>
      </c>
      <c r="L87" s="155" t="s">
        <v>66</v>
      </c>
      <c r="M87" s="7"/>
      <c r="N87" s="7"/>
      <c r="O87" s="7"/>
      <c r="P87" s="7"/>
      <c r="Q87" s="7"/>
      <c r="R87" s="90"/>
    </row>
    <row r="88" spans="1:18" ht="14.4" customHeight="1">
      <c r="A88" s="49"/>
      <c r="B88" s="148">
        <v>39692</v>
      </c>
      <c r="C88" s="149">
        <v>6.28</v>
      </c>
      <c r="D88" s="150">
        <v>0</v>
      </c>
      <c r="E88" s="151">
        <f t="shared" si="4"/>
        <v>6.28</v>
      </c>
      <c r="F88" s="149">
        <f t="shared" si="5"/>
        <v>0.30748139443791622</v>
      </c>
      <c r="G88" s="151">
        <f t="shared" si="6"/>
        <v>0.30748139443791622</v>
      </c>
      <c r="H88" s="152">
        <v>20.423999999999999</v>
      </c>
      <c r="I88" s="153">
        <v>3.56E-2</v>
      </c>
      <c r="J88" s="154">
        <v>3.3099999999999997E-2</v>
      </c>
      <c r="K88" s="152">
        <f t="shared" si="7"/>
        <v>88.749452381961817</v>
      </c>
      <c r="L88" s="155" t="s">
        <v>66</v>
      </c>
      <c r="M88" s="7"/>
      <c r="N88" s="7"/>
      <c r="O88" s="7"/>
      <c r="P88" s="7"/>
      <c r="Q88" s="7"/>
      <c r="R88" s="90"/>
    </row>
    <row r="89" spans="1:18" ht="14.4" customHeight="1">
      <c r="A89" s="49"/>
      <c r="B89" s="148">
        <v>39722</v>
      </c>
      <c r="C89" s="149">
        <v>5.4144838160314599</v>
      </c>
      <c r="D89" s="150">
        <v>0</v>
      </c>
      <c r="E89" s="151">
        <f t="shared" si="4"/>
        <v>5.4144838160314599</v>
      </c>
      <c r="F89" s="149">
        <f t="shared" si="5"/>
        <v>0.24200973566492914</v>
      </c>
      <c r="G89" s="151">
        <f t="shared" si="6"/>
        <v>0.24200973566492914</v>
      </c>
      <c r="H89" s="152">
        <v>22.373000000000001</v>
      </c>
      <c r="I89" s="153">
        <v>3.5700000000000003E-2</v>
      </c>
      <c r="J89" s="154">
        <v>3.2500000000000001E-2</v>
      </c>
      <c r="K89" s="152">
        <f t="shared" si="7"/>
        <v>77.078891552991749</v>
      </c>
      <c r="L89" s="155" t="s">
        <v>66</v>
      </c>
      <c r="M89" s="7"/>
      <c r="N89" s="7"/>
      <c r="O89" s="7"/>
      <c r="P89" s="7"/>
      <c r="Q89" s="7"/>
      <c r="R89" s="90"/>
    </row>
    <row r="90" spans="1:18" ht="14.4" customHeight="1">
      <c r="A90" s="49"/>
      <c r="B90" s="148">
        <v>39753</v>
      </c>
      <c r="C90" s="149">
        <v>4.93409415673485</v>
      </c>
      <c r="D90" s="150">
        <v>0</v>
      </c>
      <c r="E90" s="151">
        <f t="shared" si="4"/>
        <v>4.93409415673485</v>
      </c>
      <c r="F90" s="149">
        <f t="shared" si="5"/>
        <v>0.20830388638218642</v>
      </c>
      <c r="G90" s="151">
        <f t="shared" si="6"/>
        <v>0.20830388638218642</v>
      </c>
      <c r="H90" s="152">
        <v>23.687000000000001</v>
      </c>
      <c r="I90" s="153">
        <v>3.4799999999999998E-2</v>
      </c>
      <c r="J90" s="154">
        <v>3.0700000000000002E-2</v>
      </c>
      <c r="K90" s="152">
        <f t="shared" si="7"/>
        <v>73.135613380787802</v>
      </c>
      <c r="L90" s="155" t="s">
        <v>66</v>
      </c>
      <c r="M90" s="7"/>
      <c r="N90" s="7"/>
      <c r="O90" s="7"/>
      <c r="P90" s="7"/>
      <c r="Q90" s="7"/>
      <c r="R90" s="90"/>
    </row>
    <row r="91" spans="1:18" ht="14.4" customHeight="1">
      <c r="A91" s="164"/>
      <c r="B91" s="156">
        <v>39783</v>
      </c>
      <c r="C91" s="157">
        <v>4.76</v>
      </c>
      <c r="D91" s="158">
        <v>0</v>
      </c>
      <c r="E91" s="159">
        <f t="shared" si="4"/>
        <v>4.76</v>
      </c>
      <c r="F91" s="157">
        <f t="shared" si="5"/>
        <v>0.19545846507617129</v>
      </c>
      <c r="G91" s="159">
        <f t="shared" si="6"/>
        <v>0.19545846507617129</v>
      </c>
      <c r="H91" s="160">
        <v>24.353000000000002</v>
      </c>
      <c r="I91" s="161">
        <v>3.5700000000000003E-2</v>
      </c>
      <c r="J91" s="162">
        <v>3.0200000000000001E-2</v>
      </c>
      <c r="K91" s="160">
        <f t="shared" si="7"/>
        <v>70.126847091061762</v>
      </c>
      <c r="L91" s="163" t="s">
        <v>66</v>
      </c>
      <c r="M91" s="7"/>
      <c r="N91" s="7"/>
      <c r="O91" s="7"/>
      <c r="P91" s="7"/>
      <c r="Q91" s="7"/>
      <c r="R91" s="90"/>
    </row>
    <row r="92" spans="1:18" ht="14.4" customHeight="1">
      <c r="A92" s="49"/>
      <c r="B92" s="140">
        <v>39814</v>
      </c>
      <c r="C92" s="141">
        <v>4.6100000000000003</v>
      </c>
      <c r="D92" s="142">
        <v>0</v>
      </c>
      <c r="E92" s="143">
        <f t="shared" si="4"/>
        <v>4.6100000000000003</v>
      </c>
      <c r="F92" s="141">
        <f t="shared" si="5"/>
        <v>0.19793902962644913</v>
      </c>
      <c r="G92" s="143">
        <f t="shared" si="6"/>
        <v>0.19793902962644913</v>
      </c>
      <c r="H92" s="144">
        <v>23.29</v>
      </c>
      <c r="I92" s="145">
        <v>3.61E-2</v>
      </c>
      <c r="J92" s="146">
        <v>3.0599999999999999E-2</v>
      </c>
      <c r="K92" s="144">
        <f t="shared" si="7"/>
        <v>67.102371144524838</v>
      </c>
      <c r="L92" s="147" t="s">
        <v>67</v>
      </c>
      <c r="M92" s="7"/>
      <c r="N92" s="7"/>
      <c r="O92" s="7"/>
      <c r="P92" s="7"/>
      <c r="Q92" s="7"/>
      <c r="R92" s="90"/>
    </row>
    <row r="93" spans="1:18" ht="14.4" customHeight="1">
      <c r="A93" s="49"/>
      <c r="B93" s="148">
        <v>39845</v>
      </c>
      <c r="C93" s="149">
        <v>4.75</v>
      </c>
      <c r="D93" s="150">
        <v>0</v>
      </c>
      <c r="E93" s="151">
        <f t="shared" si="4"/>
        <v>4.75</v>
      </c>
      <c r="F93" s="149">
        <f t="shared" si="5"/>
        <v>0.20430107526881722</v>
      </c>
      <c r="G93" s="151">
        <f t="shared" si="6"/>
        <v>0.20430107526881722</v>
      </c>
      <c r="H93" s="152">
        <v>23.25</v>
      </c>
      <c r="I93" s="153">
        <v>3.7199999999999997E-2</v>
      </c>
      <c r="J93" s="154">
        <v>3.15E-2</v>
      </c>
      <c r="K93" s="152">
        <f t="shared" si="7"/>
        <v>67.127372422662205</v>
      </c>
      <c r="L93" s="155" t="s">
        <v>67</v>
      </c>
      <c r="M93" s="7"/>
      <c r="N93" s="7"/>
      <c r="O93" s="7"/>
      <c r="P93" s="7"/>
      <c r="Q93" s="7"/>
      <c r="R93" s="90"/>
    </row>
    <row r="94" spans="1:18" ht="14.4" customHeight="1">
      <c r="A94" s="49"/>
      <c r="B94" s="148">
        <v>39873</v>
      </c>
      <c r="C94" s="149">
        <v>4.84</v>
      </c>
      <c r="D94" s="150">
        <v>0</v>
      </c>
      <c r="E94" s="151">
        <f t="shared" si="4"/>
        <v>4.84</v>
      </c>
      <c r="F94" s="149">
        <f t="shared" si="5"/>
        <v>0.20183486238532108</v>
      </c>
      <c r="G94" s="151">
        <f t="shared" si="6"/>
        <v>0.20183486238532108</v>
      </c>
      <c r="H94" s="152">
        <v>23.98</v>
      </c>
      <c r="I94" s="153">
        <v>3.7900000000000003E-2</v>
      </c>
      <c r="J94" s="154">
        <v>3.2599999999999997E-2</v>
      </c>
      <c r="K94" s="152">
        <f t="shared" si="7"/>
        <v>66.652895407284987</v>
      </c>
      <c r="L94" s="155" t="s">
        <v>67</v>
      </c>
      <c r="M94" s="7"/>
      <c r="N94" s="7"/>
      <c r="O94" s="7"/>
      <c r="P94" s="7"/>
      <c r="Q94" s="7"/>
      <c r="R94" s="90"/>
    </row>
    <row r="95" spans="1:18" ht="14.4" customHeight="1">
      <c r="A95" s="49"/>
      <c r="B95" s="148">
        <v>39904</v>
      </c>
      <c r="C95" s="149">
        <v>4.87</v>
      </c>
      <c r="D95" s="150">
        <v>0</v>
      </c>
      <c r="E95" s="151">
        <f t="shared" si="4"/>
        <v>4.87</v>
      </c>
      <c r="F95" s="149">
        <f t="shared" si="5"/>
        <v>0.20262117744955274</v>
      </c>
      <c r="G95" s="151">
        <f t="shared" si="6"/>
        <v>0.20262117744955274</v>
      </c>
      <c r="H95" s="152">
        <v>24.035</v>
      </c>
      <c r="I95" s="153">
        <v>3.8300000000000001E-2</v>
      </c>
      <c r="J95" s="154">
        <v>3.27E-2</v>
      </c>
      <c r="K95" s="152">
        <f t="shared" si="7"/>
        <v>66.593737180363732</v>
      </c>
      <c r="L95" s="155" t="s">
        <v>67</v>
      </c>
      <c r="M95" s="7"/>
      <c r="N95" s="7"/>
      <c r="O95" s="7"/>
      <c r="P95" s="7"/>
      <c r="Q95" s="7"/>
      <c r="R95" s="90"/>
    </row>
    <row r="96" spans="1:18" ht="14.4" customHeight="1">
      <c r="A96" s="49"/>
      <c r="B96" s="148">
        <v>39934</v>
      </c>
      <c r="C96" s="149">
        <v>5.1343449269574304</v>
      </c>
      <c r="D96" s="150">
        <v>0</v>
      </c>
      <c r="E96" s="151">
        <f t="shared" si="4"/>
        <v>5.1343449269574304</v>
      </c>
      <c r="F96" s="149">
        <f t="shared" si="5"/>
        <v>0.21668474053418149</v>
      </c>
      <c r="G96" s="151">
        <f t="shared" si="6"/>
        <v>0.21668474053418149</v>
      </c>
      <c r="H96" s="152">
        <v>23.695</v>
      </c>
      <c r="I96" s="153">
        <v>3.8100000000000002E-2</v>
      </c>
      <c r="J96" s="154">
        <v>3.2399999999999998E-2</v>
      </c>
      <c r="K96" s="152">
        <f t="shared" si="7"/>
        <v>70.706395744094607</v>
      </c>
      <c r="L96" s="155" t="s">
        <v>67</v>
      </c>
      <c r="M96" s="7"/>
      <c r="N96" s="7"/>
      <c r="O96" s="7"/>
      <c r="P96" s="7"/>
      <c r="Q96" s="7"/>
      <c r="R96" s="90"/>
    </row>
    <row r="97" spans="1:18" ht="14.4" customHeight="1">
      <c r="A97" s="49"/>
      <c r="B97" s="148">
        <v>39965</v>
      </c>
      <c r="C97" s="149">
        <v>5.2298207503041496</v>
      </c>
      <c r="D97" s="150">
        <v>0</v>
      </c>
      <c r="E97" s="151">
        <f t="shared" si="4"/>
        <v>5.2298207503041496</v>
      </c>
      <c r="F97" s="149">
        <f t="shared" si="5"/>
        <v>0.22358260657108076</v>
      </c>
      <c r="G97" s="151">
        <f t="shared" si="6"/>
        <v>0.22358260657108076</v>
      </c>
      <c r="H97" s="152">
        <v>23.390999999999998</v>
      </c>
      <c r="I97" s="153">
        <v>3.8399999999999997E-2</v>
      </c>
      <c r="J97" s="154">
        <v>3.2599999999999997E-2</v>
      </c>
      <c r="K97" s="152">
        <f t="shared" si="7"/>
        <v>71.514026395516879</v>
      </c>
      <c r="L97" s="155" t="s">
        <v>67</v>
      </c>
      <c r="M97" s="7"/>
      <c r="N97" s="7"/>
      <c r="O97" s="7"/>
      <c r="P97" s="7"/>
      <c r="Q97" s="7"/>
      <c r="R97" s="90"/>
    </row>
    <row r="98" spans="1:18" ht="14.4" customHeight="1">
      <c r="A98" s="49"/>
      <c r="B98" s="148">
        <v>39995</v>
      </c>
      <c r="C98" s="149">
        <v>5.2021232694498103</v>
      </c>
      <c r="D98" s="150">
        <v>0</v>
      </c>
      <c r="E98" s="151">
        <f t="shared" si="4"/>
        <v>5.2021232694498103</v>
      </c>
      <c r="F98" s="149">
        <f t="shared" si="5"/>
        <v>0.2223604731545121</v>
      </c>
      <c r="G98" s="151">
        <f t="shared" si="6"/>
        <v>0.2223604731545121</v>
      </c>
      <c r="H98" s="152">
        <v>23.395</v>
      </c>
      <c r="I98" s="153">
        <v>3.8199999999999998E-2</v>
      </c>
      <c r="J98" s="154">
        <v>3.2199999999999999E-2</v>
      </c>
      <c r="K98" s="152">
        <f t="shared" si="7"/>
        <v>71.741549942765474</v>
      </c>
      <c r="L98" s="155" t="s">
        <v>67</v>
      </c>
      <c r="M98" s="7"/>
      <c r="N98" s="7"/>
      <c r="O98" s="7"/>
      <c r="P98" s="7"/>
      <c r="Q98" s="7"/>
      <c r="R98" s="90"/>
    </row>
    <row r="99" spans="1:18" ht="14.4" customHeight="1">
      <c r="A99" s="49"/>
      <c r="B99" s="148">
        <v>40026</v>
      </c>
      <c r="C99" s="149">
        <v>4.95</v>
      </c>
      <c r="D99" s="150">
        <v>0</v>
      </c>
      <c r="E99" s="151">
        <f t="shared" si="4"/>
        <v>4.95</v>
      </c>
      <c r="F99" s="149">
        <f t="shared" si="5"/>
        <v>0.21661123752844391</v>
      </c>
      <c r="G99" s="151">
        <f t="shared" si="6"/>
        <v>0.21661123752844391</v>
      </c>
      <c r="H99" s="152">
        <v>22.852</v>
      </c>
      <c r="I99" s="153">
        <v>3.6700000000000003E-2</v>
      </c>
      <c r="J99" s="154">
        <v>3.2599999999999997E-2</v>
      </c>
      <c r="K99" s="152">
        <f t="shared" si="7"/>
        <v>69.34812760055479</v>
      </c>
      <c r="L99" s="155" t="s">
        <v>67</v>
      </c>
      <c r="M99" s="7"/>
      <c r="N99" s="7"/>
      <c r="O99" s="7"/>
      <c r="P99" s="7"/>
      <c r="Q99" s="7"/>
      <c r="R99" s="90"/>
    </row>
    <row r="100" spans="1:18" ht="14.4" customHeight="1">
      <c r="A100" s="49"/>
      <c r="B100" s="148">
        <v>40057</v>
      </c>
      <c r="C100" s="149">
        <v>5.04</v>
      </c>
      <c r="D100" s="150">
        <v>0</v>
      </c>
      <c r="E100" s="151">
        <f t="shared" si="4"/>
        <v>5.04</v>
      </c>
      <c r="F100" s="149">
        <f t="shared" si="5"/>
        <v>0.22969647251845776</v>
      </c>
      <c r="G100" s="151">
        <f t="shared" si="6"/>
        <v>0.22969647251845776</v>
      </c>
      <c r="H100" s="152">
        <v>21.942</v>
      </c>
      <c r="I100" s="153">
        <v>3.6499999999999998E-2</v>
      </c>
      <c r="J100" s="154">
        <v>3.2800000000000003E-2</v>
      </c>
      <c r="K100" s="152">
        <f t="shared" si="7"/>
        <v>70.609002647837599</v>
      </c>
      <c r="L100" s="155" t="s">
        <v>67</v>
      </c>
      <c r="M100" s="7"/>
      <c r="N100" s="7"/>
      <c r="O100" s="7"/>
      <c r="P100" s="7"/>
      <c r="Q100" s="7"/>
      <c r="R100" s="90"/>
    </row>
    <row r="101" spans="1:18" ht="14.4" customHeight="1">
      <c r="A101" s="49"/>
      <c r="B101" s="148">
        <v>40087</v>
      </c>
      <c r="C101" s="149">
        <v>5.07051505201715</v>
      </c>
      <c r="D101" s="150">
        <v>0</v>
      </c>
      <c r="E101" s="151">
        <f t="shared" si="4"/>
        <v>5.07051505201715</v>
      </c>
      <c r="F101" s="149">
        <f t="shared" si="5"/>
        <v>0.2435405884734462</v>
      </c>
      <c r="G101" s="151">
        <f t="shared" si="6"/>
        <v>0.2435405884734462</v>
      </c>
      <c r="H101" s="152">
        <v>20.82</v>
      </c>
      <c r="I101" s="153">
        <v>3.6400000000000002E-2</v>
      </c>
      <c r="J101" s="154">
        <v>3.2800000000000003E-2</v>
      </c>
      <c r="K101" s="152">
        <f t="shared" si="7"/>
        <v>71.13916398250673</v>
      </c>
      <c r="L101" s="155" t="s">
        <v>67</v>
      </c>
      <c r="M101" s="7"/>
      <c r="N101" s="7"/>
      <c r="O101" s="7"/>
      <c r="P101" s="7"/>
      <c r="Q101" s="7"/>
      <c r="R101" s="90"/>
    </row>
    <row r="102" spans="1:18" ht="14.4" customHeight="1">
      <c r="A102" s="49"/>
      <c r="B102" s="148">
        <v>40118</v>
      </c>
      <c r="C102" s="149">
        <v>5.84</v>
      </c>
      <c r="D102" s="150">
        <v>0</v>
      </c>
      <c r="E102" s="151">
        <f t="shared" si="4"/>
        <v>5.84</v>
      </c>
      <c r="F102" s="149">
        <f t="shared" si="5"/>
        <v>0.28542104491471582</v>
      </c>
      <c r="G102" s="151">
        <f t="shared" si="6"/>
        <v>0.28542104491471582</v>
      </c>
      <c r="H102" s="152">
        <v>20.460999999999999</v>
      </c>
      <c r="I102" s="153">
        <v>3.5900000000000001E-2</v>
      </c>
      <c r="J102" s="154">
        <v>3.1899999999999998E-2</v>
      </c>
      <c r="K102" s="152">
        <f t="shared" si="7"/>
        <v>83.626886616834213</v>
      </c>
      <c r="L102" s="155" t="s">
        <v>67</v>
      </c>
      <c r="M102" s="7"/>
      <c r="N102" s="7"/>
      <c r="O102" s="7"/>
      <c r="P102" s="7"/>
      <c r="Q102" s="7"/>
      <c r="R102" s="90"/>
    </row>
    <row r="103" spans="1:18" ht="14.4" customHeight="1">
      <c r="A103" s="164"/>
      <c r="B103" s="156">
        <v>40148</v>
      </c>
      <c r="C103" s="157">
        <v>5.52</v>
      </c>
      <c r="D103" s="158">
        <v>0</v>
      </c>
      <c r="E103" s="159">
        <f t="shared" si="4"/>
        <v>5.52</v>
      </c>
      <c r="F103" s="157">
        <f t="shared" si="5"/>
        <v>0.2801603816677663</v>
      </c>
      <c r="G103" s="159">
        <f t="shared" si="6"/>
        <v>0.2801603816677663</v>
      </c>
      <c r="H103" s="160">
        <v>19.702999999999999</v>
      </c>
      <c r="I103" s="161">
        <v>3.56E-2</v>
      </c>
      <c r="J103" s="162">
        <v>3.15E-2</v>
      </c>
      <c r="K103" s="160">
        <f t="shared" si="7"/>
        <v>79.86919971640647</v>
      </c>
      <c r="L103" s="163" t="s">
        <v>67</v>
      </c>
      <c r="M103" s="7"/>
      <c r="N103" s="7"/>
      <c r="O103" s="7"/>
      <c r="P103" s="7"/>
      <c r="Q103" s="7"/>
      <c r="R103" s="90"/>
    </row>
    <row r="104" spans="1:18" ht="14.4" customHeight="1">
      <c r="A104" s="49"/>
      <c r="B104" s="140">
        <v>40179</v>
      </c>
      <c r="C104" s="141">
        <v>5.5590194184612303</v>
      </c>
      <c r="D104" s="142">
        <v>0</v>
      </c>
      <c r="E104" s="143">
        <f t="shared" si="4"/>
        <v>5.5590194184612303</v>
      </c>
      <c r="F104" s="141">
        <f t="shared" si="5"/>
        <v>0.28384066471591679</v>
      </c>
      <c r="G104" s="143">
        <f t="shared" si="6"/>
        <v>0.28384066471591679</v>
      </c>
      <c r="H104" s="144">
        <v>19.585000000000001</v>
      </c>
      <c r="I104" s="145">
        <v>3.6600000000000001E-2</v>
      </c>
      <c r="J104" s="146">
        <v>3.1399999999999997E-2</v>
      </c>
      <c r="K104" s="144">
        <f t="shared" si="7"/>
        <v>79.369209286996437</v>
      </c>
      <c r="L104" s="147" t="s">
        <v>68</v>
      </c>
      <c r="M104" s="7"/>
      <c r="N104" s="7"/>
      <c r="O104" s="7"/>
      <c r="P104" s="7"/>
      <c r="Q104" s="7"/>
      <c r="R104" s="90"/>
    </row>
    <row r="105" spans="1:18" ht="14.4" customHeight="1">
      <c r="A105" s="49"/>
      <c r="B105" s="148">
        <v>40210</v>
      </c>
      <c r="C105" s="149">
        <v>5.97</v>
      </c>
      <c r="D105" s="150">
        <v>0</v>
      </c>
      <c r="E105" s="151">
        <f t="shared" si="4"/>
        <v>5.97</v>
      </c>
      <c r="F105" s="149">
        <f t="shared" si="5"/>
        <v>0.30203379540625319</v>
      </c>
      <c r="G105" s="151">
        <f t="shared" si="6"/>
        <v>0.30203379540625319</v>
      </c>
      <c r="H105" s="152">
        <v>19.765999999999998</v>
      </c>
      <c r="I105" s="153">
        <v>3.7600000000000001E-2</v>
      </c>
      <c r="J105" s="154">
        <v>3.1800000000000002E-2</v>
      </c>
      <c r="K105" s="152">
        <f t="shared" si="7"/>
        <v>83.517528888391467</v>
      </c>
      <c r="L105" s="155" t="s">
        <v>68</v>
      </c>
      <c r="M105" s="7"/>
      <c r="N105" s="7"/>
      <c r="O105" s="7"/>
      <c r="P105" s="7"/>
      <c r="Q105" s="7"/>
      <c r="R105" s="90"/>
    </row>
    <row r="106" spans="1:18" ht="14.4" customHeight="1">
      <c r="A106" s="49"/>
      <c r="B106" s="148">
        <v>40238</v>
      </c>
      <c r="C106" s="149">
        <v>6.31</v>
      </c>
      <c r="D106" s="150">
        <v>0</v>
      </c>
      <c r="E106" s="151">
        <f t="shared" si="4"/>
        <v>6.31</v>
      </c>
      <c r="F106" s="149">
        <f t="shared" si="5"/>
        <v>0.32179101433015445</v>
      </c>
      <c r="G106" s="151">
        <f t="shared" si="6"/>
        <v>0.32179101433015445</v>
      </c>
      <c r="H106" s="152">
        <v>19.609000000000002</v>
      </c>
      <c r="I106" s="153">
        <v>3.8100000000000002E-2</v>
      </c>
      <c r="J106" s="154">
        <v>3.2899999999999999E-2</v>
      </c>
      <c r="K106" s="152">
        <f t="shared" si="7"/>
        <v>86.284698482155051</v>
      </c>
      <c r="L106" s="155" t="s">
        <v>68</v>
      </c>
      <c r="M106" s="7"/>
      <c r="N106" s="7"/>
      <c r="O106" s="7"/>
      <c r="P106" s="7"/>
      <c r="Q106" s="7"/>
      <c r="R106" s="90"/>
    </row>
    <row r="107" spans="1:18" ht="14.4" customHeight="1">
      <c r="A107" s="49"/>
      <c r="B107" s="148">
        <v>40269</v>
      </c>
      <c r="C107" s="149">
        <v>6.53</v>
      </c>
      <c r="D107" s="150">
        <v>0</v>
      </c>
      <c r="E107" s="151">
        <f t="shared" si="4"/>
        <v>6.53</v>
      </c>
      <c r="F107" s="149">
        <f t="shared" si="5"/>
        <v>0.3374677002583979</v>
      </c>
      <c r="G107" s="151">
        <f t="shared" si="6"/>
        <v>0.3374677002583979</v>
      </c>
      <c r="H107" s="152">
        <v>19.350000000000001</v>
      </c>
      <c r="I107" s="153">
        <v>3.8699999999999998E-2</v>
      </c>
      <c r="J107" s="154">
        <v>3.3300000000000003E-2</v>
      </c>
      <c r="K107" s="152">
        <f t="shared" si="7"/>
        <v>88.052858683926644</v>
      </c>
      <c r="L107" s="155" t="s">
        <v>68</v>
      </c>
      <c r="M107" s="7"/>
      <c r="N107" s="7"/>
      <c r="O107" s="7"/>
      <c r="P107" s="7"/>
      <c r="Q107" s="7"/>
      <c r="R107" s="90"/>
    </row>
    <row r="108" spans="1:18" ht="14.4" customHeight="1">
      <c r="A108" s="49"/>
      <c r="B108" s="148">
        <v>40299</v>
      </c>
      <c r="C108" s="149">
        <v>6.55</v>
      </c>
      <c r="D108" s="150">
        <v>0</v>
      </c>
      <c r="E108" s="151">
        <f t="shared" si="4"/>
        <v>6.55</v>
      </c>
      <c r="F108" s="149">
        <f t="shared" si="5"/>
        <v>0.34004776243380747</v>
      </c>
      <c r="G108" s="151">
        <f t="shared" si="6"/>
        <v>0.34004776243380747</v>
      </c>
      <c r="H108" s="152">
        <v>19.262</v>
      </c>
      <c r="I108" s="153">
        <v>3.8100000000000002E-2</v>
      </c>
      <c r="J108" s="154">
        <v>3.3399999999999999E-2</v>
      </c>
      <c r="K108" s="152">
        <f t="shared" si="7"/>
        <v>88.94018602756465</v>
      </c>
      <c r="L108" s="155" t="s">
        <v>68</v>
      </c>
      <c r="M108" s="7"/>
      <c r="N108" s="7"/>
      <c r="O108" s="7"/>
      <c r="P108" s="7"/>
      <c r="Q108" s="7"/>
      <c r="R108" s="90"/>
    </row>
    <row r="109" spans="1:18" ht="14.4" customHeight="1">
      <c r="A109" s="49"/>
      <c r="B109" s="148">
        <v>40330</v>
      </c>
      <c r="C109" s="149">
        <v>6.51</v>
      </c>
      <c r="D109" s="150">
        <v>0</v>
      </c>
      <c r="E109" s="151">
        <f t="shared" si="4"/>
        <v>6.51</v>
      </c>
      <c r="F109" s="149">
        <f t="shared" si="5"/>
        <v>0.31825959423123934</v>
      </c>
      <c r="G109" s="151">
        <f t="shared" si="6"/>
        <v>0.31825959423123934</v>
      </c>
      <c r="H109" s="152">
        <v>20.454999999999998</v>
      </c>
      <c r="I109" s="153">
        <v>3.7999999999999999E-2</v>
      </c>
      <c r="J109" s="154">
        <v>3.3099999999999997E-2</v>
      </c>
      <c r="K109" s="152">
        <f t="shared" si="7"/>
        <v>88.894350907377813</v>
      </c>
      <c r="L109" s="155" t="s">
        <v>68</v>
      </c>
      <c r="M109" s="7"/>
      <c r="N109" s="7"/>
      <c r="O109" s="7"/>
      <c r="P109" s="7"/>
      <c r="Q109" s="7"/>
      <c r="R109" s="90"/>
    </row>
    <row r="110" spans="1:18" ht="14.4" customHeight="1">
      <c r="A110" s="49"/>
      <c r="B110" s="148">
        <v>40360</v>
      </c>
      <c r="C110" s="149">
        <v>6.51</v>
      </c>
      <c r="D110" s="150">
        <v>0</v>
      </c>
      <c r="E110" s="151">
        <f t="shared" si="4"/>
        <v>6.51</v>
      </c>
      <c r="F110" s="149">
        <f t="shared" si="5"/>
        <v>0.3086478285605917</v>
      </c>
      <c r="G110" s="151">
        <f t="shared" si="6"/>
        <v>0.3086478285605917</v>
      </c>
      <c r="H110" s="152">
        <v>21.091999999999999</v>
      </c>
      <c r="I110" s="153">
        <v>3.73E-2</v>
      </c>
      <c r="J110" s="154">
        <v>3.27E-2</v>
      </c>
      <c r="K110" s="152">
        <f t="shared" si="7"/>
        <v>90.29126213592231</v>
      </c>
      <c r="L110" s="155" t="s">
        <v>68</v>
      </c>
      <c r="M110" s="7"/>
      <c r="N110" s="7"/>
      <c r="O110" s="7"/>
      <c r="P110" s="7"/>
      <c r="Q110" s="7"/>
      <c r="R110" s="90"/>
    </row>
    <row r="111" spans="1:18" ht="14.4" customHeight="1">
      <c r="A111" s="49"/>
      <c r="B111" s="148">
        <v>40391</v>
      </c>
      <c r="C111" s="149">
        <v>6.61</v>
      </c>
      <c r="D111" s="150">
        <v>0</v>
      </c>
      <c r="E111" s="151">
        <f t="shared" si="4"/>
        <v>6.61</v>
      </c>
      <c r="F111" s="149">
        <f t="shared" si="5"/>
        <v>0.31688959202262812</v>
      </c>
      <c r="G111" s="151">
        <f t="shared" si="6"/>
        <v>0.31688959202262812</v>
      </c>
      <c r="H111" s="152">
        <v>20.859000000000002</v>
      </c>
      <c r="I111" s="153">
        <v>3.6499999999999998E-2</v>
      </c>
      <c r="J111" s="154">
        <v>3.2800000000000003E-2</v>
      </c>
      <c r="K111" s="152">
        <f t="shared" si="7"/>
        <v>92.604267361548921</v>
      </c>
      <c r="L111" s="155" t="s">
        <v>68</v>
      </c>
      <c r="M111" s="7"/>
      <c r="N111" s="7"/>
      <c r="O111" s="7"/>
      <c r="P111" s="7"/>
      <c r="Q111" s="7"/>
      <c r="R111" s="90"/>
    </row>
    <row r="112" spans="1:18" ht="14.4" customHeight="1">
      <c r="A112" s="49"/>
      <c r="B112" s="148">
        <v>40422</v>
      </c>
      <c r="C112" s="149">
        <v>6.51</v>
      </c>
      <c r="D112" s="150">
        <v>0</v>
      </c>
      <c r="E112" s="151">
        <f t="shared" si="4"/>
        <v>6.51</v>
      </c>
      <c r="F112" s="149">
        <f t="shared" si="5"/>
        <v>0.31663424124513617</v>
      </c>
      <c r="G112" s="151">
        <f t="shared" si="6"/>
        <v>0.31663424124513617</v>
      </c>
      <c r="H112" s="152">
        <v>20.56</v>
      </c>
      <c r="I112" s="153">
        <v>3.5799999999999998E-2</v>
      </c>
      <c r="J112" s="154">
        <v>3.3099999999999997E-2</v>
      </c>
      <c r="K112" s="152">
        <f t="shared" si="7"/>
        <v>91.732777206307162</v>
      </c>
      <c r="L112" s="155" t="s">
        <v>68</v>
      </c>
      <c r="M112" s="7"/>
      <c r="N112" s="7"/>
      <c r="O112" s="7"/>
      <c r="P112" s="7"/>
      <c r="Q112" s="7"/>
      <c r="R112" s="90"/>
    </row>
    <row r="113" spans="1:18" ht="14.4" customHeight="1">
      <c r="A113" s="49"/>
      <c r="B113" s="148">
        <v>40452</v>
      </c>
      <c r="C113" s="149">
        <v>6.58</v>
      </c>
      <c r="D113" s="150">
        <v>0</v>
      </c>
      <c r="E113" s="151">
        <f t="shared" si="4"/>
        <v>6.58</v>
      </c>
      <c r="F113" s="149">
        <f t="shared" si="5"/>
        <v>0.32550086569379172</v>
      </c>
      <c r="G113" s="151">
        <f t="shared" si="6"/>
        <v>0.32550086569379172</v>
      </c>
      <c r="H113" s="152">
        <v>20.215</v>
      </c>
      <c r="I113" s="153">
        <v>3.5200000000000002E-2</v>
      </c>
      <c r="J113" s="154">
        <v>3.3099999999999997E-2</v>
      </c>
      <c r="K113" s="152">
        <f t="shared" si="7"/>
        <v>93.53366785597521</v>
      </c>
      <c r="L113" s="155" t="s">
        <v>68</v>
      </c>
      <c r="M113" s="7"/>
      <c r="N113" s="7"/>
      <c r="O113" s="7"/>
      <c r="P113" s="7"/>
      <c r="Q113" s="7"/>
      <c r="R113" s="90"/>
    </row>
    <row r="114" spans="1:18" ht="14.4" customHeight="1">
      <c r="A114" s="49"/>
      <c r="B114" s="148">
        <v>40483</v>
      </c>
      <c r="C114" s="149">
        <v>6.5</v>
      </c>
      <c r="D114" s="150">
        <v>0</v>
      </c>
      <c r="E114" s="151">
        <f t="shared" si="4"/>
        <v>6.5</v>
      </c>
      <c r="F114" s="149">
        <f t="shared" si="5"/>
        <v>0.32560236437409207</v>
      </c>
      <c r="G114" s="151">
        <f t="shared" si="6"/>
        <v>0.32560236437409207</v>
      </c>
      <c r="H114" s="152">
        <v>19.963000000000001</v>
      </c>
      <c r="I114" s="153">
        <v>3.5400000000000001E-2</v>
      </c>
      <c r="J114" s="154">
        <v>3.2300000000000002E-2</v>
      </c>
      <c r="K114" s="152">
        <f t="shared" si="7"/>
        <v>93.215356154364613</v>
      </c>
      <c r="L114" s="155" t="s">
        <v>68</v>
      </c>
      <c r="M114" s="7"/>
      <c r="N114" s="7"/>
      <c r="O114" s="7"/>
      <c r="P114" s="7"/>
      <c r="Q114" s="7"/>
      <c r="R114" s="90"/>
    </row>
    <row r="115" spans="1:18" ht="14.4" customHeight="1">
      <c r="A115" s="164"/>
      <c r="B115" s="156">
        <v>40513</v>
      </c>
      <c r="C115" s="157">
        <v>6.82</v>
      </c>
      <c r="D115" s="158">
        <v>0</v>
      </c>
      <c r="E115" s="159">
        <f t="shared" si="4"/>
        <v>6.82</v>
      </c>
      <c r="F115" s="157">
        <f t="shared" si="5"/>
        <v>0.34142678347934918</v>
      </c>
      <c r="G115" s="159">
        <f t="shared" si="6"/>
        <v>0.34142678347934918</v>
      </c>
      <c r="H115" s="160">
        <v>19.975000000000001</v>
      </c>
      <c r="I115" s="161">
        <v>3.56E-2</v>
      </c>
      <c r="J115" s="162">
        <v>3.1699999999999999E-2</v>
      </c>
      <c r="K115" s="160">
        <f t="shared" si="7"/>
        <v>98.385723971782625</v>
      </c>
      <c r="L115" s="163" t="s">
        <v>68</v>
      </c>
      <c r="M115" s="7"/>
      <c r="N115" s="7"/>
      <c r="O115" s="7"/>
      <c r="P115" s="7"/>
      <c r="Q115" s="7"/>
      <c r="R115" s="90"/>
    </row>
    <row r="116" spans="1:18" ht="14.4" customHeight="1">
      <c r="A116" s="49"/>
      <c r="B116" s="140">
        <v>40544</v>
      </c>
      <c r="C116" s="141">
        <v>7.18</v>
      </c>
      <c r="D116" s="142">
        <v>0</v>
      </c>
      <c r="E116" s="143">
        <f t="shared" si="4"/>
        <v>7.18</v>
      </c>
      <c r="F116" s="141">
        <f t="shared" si="5"/>
        <v>0.36149431074413452</v>
      </c>
      <c r="G116" s="143">
        <f t="shared" si="6"/>
        <v>0.36149431074413452</v>
      </c>
      <c r="H116" s="144">
        <v>19.861999999999998</v>
      </c>
      <c r="I116" s="145">
        <v>3.5999999999999997E-2</v>
      </c>
      <c r="J116" s="146">
        <v>3.15E-2</v>
      </c>
      <c r="K116" s="144">
        <f t="shared" si="7"/>
        <v>103.27220424307802</v>
      </c>
      <c r="L116" s="147" t="s">
        <v>69</v>
      </c>
      <c r="M116" s="7"/>
      <c r="N116" s="7"/>
      <c r="O116" s="7"/>
      <c r="P116" s="7"/>
      <c r="Q116" s="7"/>
      <c r="R116" s="90"/>
    </row>
    <row r="117" spans="1:18" ht="14.4" customHeight="1">
      <c r="A117" s="49"/>
      <c r="B117" s="148">
        <v>40575</v>
      </c>
      <c r="C117" s="149">
        <v>7.66</v>
      </c>
      <c r="D117" s="150">
        <v>0</v>
      </c>
      <c r="E117" s="151">
        <f t="shared" si="4"/>
        <v>7.66</v>
      </c>
      <c r="F117" s="149">
        <f t="shared" si="5"/>
        <v>0.39113562091503268</v>
      </c>
      <c r="G117" s="151">
        <f t="shared" si="6"/>
        <v>0.39113562091503268</v>
      </c>
      <c r="H117" s="152">
        <v>19.584</v>
      </c>
      <c r="I117" s="153">
        <v>3.7100000000000001E-2</v>
      </c>
      <c r="J117" s="154">
        <v>3.2300000000000002E-2</v>
      </c>
      <c r="K117" s="152">
        <f t="shared" si="7"/>
        <v>107.1598444363616</v>
      </c>
      <c r="L117" s="155" t="s">
        <v>69</v>
      </c>
      <c r="M117" s="7"/>
      <c r="N117" s="7"/>
      <c r="O117" s="7"/>
      <c r="P117" s="7"/>
      <c r="Q117" s="7"/>
      <c r="R117" s="90"/>
    </row>
    <row r="118" spans="1:18" ht="14.4" customHeight="1">
      <c r="A118" s="49"/>
      <c r="B118" s="148">
        <v>40603</v>
      </c>
      <c r="C118" s="149">
        <v>8.1999999999999993</v>
      </c>
      <c r="D118" s="150">
        <v>0</v>
      </c>
      <c r="E118" s="151">
        <f t="shared" si="4"/>
        <v>8.1999999999999993</v>
      </c>
      <c r="F118" s="149">
        <f t="shared" si="5"/>
        <v>0.42412330609289334</v>
      </c>
      <c r="G118" s="151">
        <f t="shared" si="6"/>
        <v>0.42412330609289334</v>
      </c>
      <c r="H118" s="152">
        <v>19.334</v>
      </c>
      <c r="I118" s="153">
        <v>3.8399999999999997E-2</v>
      </c>
      <c r="J118" s="154">
        <v>3.3300000000000003E-2</v>
      </c>
      <c r="K118" s="152">
        <f t="shared" si="7"/>
        <v>111.03438003547683</v>
      </c>
      <c r="L118" s="155" t="s">
        <v>69</v>
      </c>
      <c r="M118" s="7"/>
      <c r="N118" s="7"/>
      <c r="O118" s="7"/>
      <c r="P118" s="7"/>
      <c r="Q118" s="7"/>
      <c r="R118" s="90"/>
    </row>
    <row r="119" spans="1:18" ht="14.4" customHeight="1">
      <c r="A119" s="49"/>
      <c r="B119" s="148">
        <v>40634</v>
      </c>
      <c r="C119" s="149">
        <v>8.31</v>
      </c>
      <c r="D119" s="150">
        <v>0</v>
      </c>
      <c r="E119" s="151">
        <f t="shared" si="4"/>
        <v>8.31</v>
      </c>
      <c r="F119" s="149">
        <f t="shared" si="5"/>
        <v>0.43732238711714561</v>
      </c>
      <c r="G119" s="151">
        <f t="shared" si="6"/>
        <v>0.43732238711714561</v>
      </c>
      <c r="H119" s="152">
        <v>19.001999999999999</v>
      </c>
      <c r="I119" s="153">
        <v>3.9E-2</v>
      </c>
      <c r="J119" s="154">
        <v>3.3599999999999998E-2</v>
      </c>
      <c r="K119" s="152">
        <f t="shared" si="7"/>
        <v>111.12894166733533</v>
      </c>
      <c r="L119" s="155" t="s">
        <v>69</v>
      </c>
      <c r="M119" s="7"/>
      <c r="N119" s="7"/>
      <c r="O119" s="7"/>
      <c r="P119" s="7"/>
      <c r="Q119" s="7"/>
      <c r="R119" s="90"/>
    </row>
    <row r="120" spans="1:18" ht="14.4" customHeight="1">
      <c r="A120" s="49"/>
      <c r="B120" s="148">
        <v>40664</v>
      </c>
      <c r="C120" s="149">
        <v>8.3800000000000008</v>
      </c>
      <c r="D120" s="150">
        <v>0</v>
      </c>
      <c r="E120" s="151">
        <f t="shared" si="4"/>
        <v>8.3800000000000008</v>
      </c>
      <c r="F120" s="149">
        <f t="shared" si="5"/>
        <v>0.44449159284994433</v>
      </c>
      <c r="G120" s="151">
        <f t="shared" si="6"/>
        <v>0.44449159284994433</v>
      </c>
      <c r="H120" s="152">
        <v>18.853000000000002</v>
      </c>
      <c r="I120" s="153">
        <v>3.8699999999999998E-2</v>
      </c>
      <c r="J120" s="154">
        <v>3.4000000000000002E-2</v>
      </c>
      <c r="K120" s="152">
        <f t="shared" si="7"/>
        <v>111.91089862581964</v>
      </c>
      <c r="L120" s="155" t="s">
        <v>69</v>
      </c>
      <c r="M120" s="7"/>
      <c r="N120" s="7"/>
      <c r="O120" s="7"/>
      <c r="P120" s="7"/>
      <c r="Q120" s="7"/>
      <c r="R120" s="90"/>
    </row>
    <row r="121" spans="1:18" ht="14.4" customHeight="1">
      <c r="A121" s="49"/>
      <c r="B121" s="148">
        <v>40695</v>
      </c>
      <c r="C121" s="149">
        <v>8.34</v>
      </c>
      <c r="D121" s="150">
        <v>0</v>
      </c>
      <c r="E121" s="151">
        <f t="shared" si="4"/>
        <v>8.34</v>
      </c>
      <c r="F121" s="149">
        <f t="shared" si="5"/>
        <v>0.45008094981111707</v>
      </c>
      <c r="G121" s="151">
        <f t="shared" si="6"/>
        <v>0.45008094981111707</v>
      </c>
      <c r="H121" s="152">
        <v>18.53</v>
      </c>
      <c r="I121" s="153">
        <v>3.8199999999999998E-2</v>
      </c>
      <c r="J121" s="154">
        <v>3.3799999999999997E-2</v>
      </c>
      <c r="K121" s="152">
        <f t="shared" si="7"/>
        <v>112.45954692556634</v>
      </c>
      <c r="L121" s="155" t="s">
        <v>69</v>
      </c>
      <c r="M121" s="7"/>
      <c r="N121" s="7"/>
      <c r="O121" s="7"/>
      <c r="P121" s="7"/>
      <c r="Q121" s="7"/>
      <c r="R121" s="90"/>
    </row>
    <row r="122" spans="1:18" ht="14.4" customHeight="1">
      <c r="A122" s="49"/>
      <c r="B122" s="148">
        <v>40725</v>
      </c>
      <c r="C122" s="149">
        <v>8.25</v>
      </c>
      <c r="D122" s="150">
        <v>0</v>
      </c>
      <c r="E122" s="151">
        <f t="shared" si="4"/>
        <v>8.25</v>
      </c>
      <c r="F122" s="149">
        <f t="shared" si="5"/>
        <v>0.4469848837839302</v>
      </c>
      <c r="G122" s="151">
        <f t="shared" si="6"/>
        <v>0.4469848837839302</v>
      </c>
      <c r="H122" s="152">
        <v>18.457000000000001</v>
      </c>
      <c r="I122" s="153">
        <v>3.7699999999999997E-2</v>
      </c>
      <c r="J122" s="154">
        <v>3.3599999999999998E-2</v>
      </c>
      <c r="K122" s="152">
        <f t="shared" si="7"/>
        <v>112.33813096583557</v>
      </c>
      <c r="L122" s="155" t="s">
        <v>69</v>
      </c>
      <c r="M122" s="7"/>
      <c r="N122" s="7"/>
      <c r="O122" s="7"/>
      <c r="P122" s="7"/>
      <c r="Q122" s="7"/>
      <c r="R122" s="90"/>
    </row>
    <row r="123" spans="1:18" ht="14.4" customHeight="1">
      <c r="A123" s="49"/>
      <c r="B123" s="148">
        <v>40756</v>
      </c>
      <c r="C123" s="149">
        <v>7.95</v>
      </c>
      <c r="D123" s="150">
        <v>0</v>
      </c>
      <c r="E123" s="151">
        <f t="shared" si="4"/>
        <v>7.95</v>
      </c>
      <c r="F123" s="149">
        <f t="shared" si="5"/>
        <v>0.42368364954167559</v>
      </c>
      <c r="G123" s="151">
        <f t="shared" si="6"/>
        <v>0.42368364954167559</v>
      </c>
      <c r="H123" s="152">
        <v>18.763999999999999</v>
      </c>
      <c r="I123" s="153">
        <v>3.73E-2</v>
      </c>
      <c r="J123" s="154">
        <v>3.3599999999999998E-2</v>
      </c>
      <c r="K123" s="152">
        <f t="shared" si="7"/>
        <v>108.86384487929124</v>
      </c>
      <c r="L123" s="155" t="s">
        <v>69</v>
      </c>
      <c r="M123" s="7"/>
      <c r="N123" s="7"/>
      <c r="O123" s="7"/>
      <c r="P123" s="7"/>
      <c r="Q123" s="7"/>
      <c r="R123" s="90"/>
    </row>
    <row r="124" spans="1:18" ht="14.4" customHeight="1">
      <c r="A124" s="49"/>
      <c r="B124" s="148">
        <v>40787</v>
      </c>
      <c r="C124" s="149">
        <v>7.81</v>
      </c>
      <c r="D124" s="150">
        <v>0</v>
      </c>
      <c r="E124" s="151">
        <f t="shared" si="4"/>
        <v>7.81</v>
      </c>
      <c r="F124" s="149">
        <f t="shared" si="5"/>
        <v>0.39901905686404737</v>
      </c>
      <c r="G124" s="151">
        <f t="shared" si="6"/>
        <v>0.39901905686404737</v>
      </c>
      <c r="H124" s="152">
        <v>19.573</v>
      </c>
      <c r="I124" s="153">
        <v>3.6299999999999999E-2</v>
      </c>
      <c r="J124" s="154">
        <v>3.3700000000000001E-2</v>
      </c>
      <c r="K124" s="152">
        <f t="shared" si="7"/>
        <v>108.32177531206656</v>
      </c>
      <c r="L124" s="155" t="s">
        <v>69</v>
      </c>
      <c r="M124" s="7"/>
      <c r="N124" s="7"/>
      <c r="O124" s="7"/>
      <c r="P124" s="7"/>
      <c r="Q124" s="7"/>
      <c r="R124" s="90"/>
    </row>
    <row r="125" spans="1:18" ht="14.4" customHeight="1">
      <c r="A125" s="49"/>
      <c r="B125" s="148">
        <v>40817</v>
      </c>
      <c r="C125" s="149">
        <v>7.68</v>
      </c>
      <c r="D125" s="150">
        <v>0</v>
      </c>
      <c r="E125" s="151">
        <f t="shared" si="4"/>
        <v>7.68</v>
      </c>
      <c r="F125" s="149">
        <f t="shared" si="5"/>
        <v>0.38534872052182639</v>
      </c>
      <c r="G125" s="151">
        <f t="shared" si="6"/>
        <v>0.38534872052182639</v>
      </c>
      <c r="H125" s="152">
        <v>19.93</v>
      </c>
      <c r="I125" s="153">
        <v>3.6200000000000003E-2</v>
      </c>
      <c r="J125" s="154">
        <v>3.3099999999999997E-2</v>
      </c>
      <c r="K125" s="152">
        <f t="shared" si="7"/>
        <v>107.59467070146681</v>
      </c>
      <c r="L125" s="155" t="s">
        <v>69</v>
      </c>
      <c r="M125" s="7"/>
      <c r="N125" s="7"/>
      <c r="O125" s="7"/>
      <c r="P125" s="7"/>
      <c r="Q125" s="7"/>
      <c r="R125" s="90"/>
    </row>
    <row r="126" spans="1:18" ht="14.4" customHeight="1">
      <c r="A126" s="49"/>
      <c r="B126" s="148">
        <v>40848</v>
      </c>
      <c r="C126" s="149">
        <v>7.51</v>
      </c>
      <c r="D126" s="150">
        <v>0</v>
      </c>
      <c r="E126" s="151">
        <f t="shared" si="4"/>
        <v>7.51</v>
      </c>
      <c r="F126" s="149">
        <f t="shared" si="5"/>
        <v>0.37736797145872064</v>
      </c>
      <c r="G126" s="151">
        <f t="shared" si="6"/>
        <v>0.37736797145872064</v>
      </c>
      <c r="H126" s="152">
        <v>19.901</v>
      </c>
      <c r="I126" s="153">
        <v>3.7100000000000001E-2</v>
      </c>
      <c r="J126" s="154">
        <v>3.2099999999999997E-2</v>
      </c>
      <c r="K126" s="152">
        <f t="shared" si="7"/>
        <v>105.36505976766374</v>
      </c>
      <c r="L126" s="155" t="s">
        <v>69</v>
      </c>
      <c r="M126" s="7"/>
      <c r="N126" s="7"/>
      <c r="O126" s="7"/>
      <c r="P126" s="7"/>
      <c r="Q126" s="7"/>
      <c r="R126" s="90"/>
    </row>
    <row r="127" spans="1:18" ht="14.4" customHeight="1">
      <c r="A127" s="164"/>
      <c r="B127" s="156">
        <v>40878</v>
      </c>
      <c r="C127" s="157">
        <v>7.54</v>
      </c>
      <c r="D127" s="158">
        <v>0</v>
      </c>
      <c r="E127" s="159">
        <f t="shared" si="4"/>
        <v>7.54</v>
      </c>
      <c r="F127" s="157">
        <f t="shared" si="5"/>
        <v>0.37756634952428647</v>
      </c>
      <c r="G127" s="159">
        <f t="shared" si="6"/>
        <v>0.37756634952428647</v>
      </c>
      <c r="H127" s="160">
        <v>19.97</v>
      </c>
      <c r="I127" s="161">
        <v>3.5799999999999998E-2</v>
      </c>
      <c r="J127" s="162">
        <v>3.1600000000000003E-2</v>
      </c>
      <c r="K127" s="160">
        <f t="shared" si="7"/>
        <v>108.61110310852466</v>
      </c>
      <c r="L127" s="163" t="s">
        <v>69</v>
      </c>
      <c r="M127" s="7"/>
      <c r="N127" s="7"/>
      <c r="O127" s="7"/>
      <c r="P127" s="7"/>
      <c r="Q127" s="7"/>
      <c r="R127" s="90"/>
    </row>
    <row r="128" spans="1:18" ht="14.4" customHeight="1">
      <c r="A128" s="49"/>
      <c r="B128" s="140">
        <v>40909</v>
      </c>
      <c r="C128" s="141">
        <v>8.14</v>
      </c>
      <c r="D128" s="142">
        <v>0</v>
      </c>
      <c r="E128" s="143">
        <f t="shared" si="4"/>
        <v>8.14</v>
      </c>
      <c r="F128" s="141">
        <f t="shared" si="5"/>
        <v>0.4147770700636943</v>
      </c>
      <c r="G128" s="143">
        <f t="shared" si="6"/>
        <v>0.4147770700636943</v>
      </c>
      <c r="H128" s="144">
        <v>19.625</v>
      </c>
      <c r="I128" s="145">
        <v>3.5796174770751601E-2</v>
      </c>
      <c r="J128" s="146">
        <v>3.1896710522575103E-2</v>
      </c>
      <c r="K128" s="165">
        <f t="shared" si="7"/>
        <v>116.74657664707797</v>
      </c>
      <c r="L128" s="147" t="s">
        <v>70</v>
      </c>
      <c r="M128" s="7"/>
      <c r="N128" s="7"/>
      <c r="O128" s="7"/>
      <c r="P128" s="7"/>
      <c r="Q128" s="7"/>
      <c r="R128" s="90"/>
    </row>
    <row r="129" spans="1:18" ht="14.4" customHeight="1">
      <c r="A129" s="49"/>
      <c r="B129" s="148">
        <v>40940</v>
      </c>
      <c r="C129" s="149">
        <v>7.76</v>
      </c>
      <c r="D129" s="150">
        <v>0</v>
      </c>
      <c r="E129" s="151">
        <f t="shared" si="4"/>
        <v>7.76</v>
      </c>
      <c r="F129" s="149">
        <f t="shared" si="5"/>
        <v>0.39925910681210125</v>
      </c>
      <c r="G129" s="151">
        <f t="shared" si="6"/>
        <v>0.39925910681210125</v>
      </c>
      <c r="H129" s="152">
        <v>19.436</v>
      </c>
      <c r="I129" s="153">
        <v>3.7037614194170898E-2</v>
      </c>
      <c r="J129" s="154">
        <v>3.2413934120294099E-2</v>
      </c>
      <c r="K129" s="166">
        <f t="shared" si="7"/>
        <v>108.4782235294693</v>
      </c>
      <c r="L129" s="149"/>
      <c r="M129" s="7"/>
      <c r="N129" s="7"/>
      <c r="O129" s="7"/>
      <c r="P129" s="7"/>
      <c r="Q129" s="7"/>
      <c r="R129" s="90"/>
    </row>
    <row r="130" spans="1:18" ht="14.4" customHeight="1">
      <c r="A130" s="49"/>
      <c r="B130" s="148">
        <v>40969</v>
      </c>
      <c r="C130" s="149">
        <v>8.0399999999999991</v>
      </c>
      <c r="D130" s="150">
        <v>0</v>
      </c>
      <c r="E130" s="151">
        <f t="shared" si="4"/>
        <v>8.0399999999999991</v>
      </c>
      <c r="F130" s="149">
        <f t="shared" si="5"/>
        <v>0.41171650962720197</v>
      </c>
      <c r="G130" s="151">
        <f t="shared" si="6"/>
        <v>0.41171650962720197</v>
      </c>
      <c r="H130" s="152">
        <v>19.527999999999999</v>
      </c>
      <c r="I130" s="153">
        <v>3.8358175827051998E-2</v>
      </c>
      <c r="J130" s="154">
        <v>3.3607408087325902E-2</v>
      </c>
      <c r="K130" s="166">
        <f t="shared" si="7"/>
        <v>108.46608640048748</v>
      </c>
      <c r="L130" s="149"/>
      <c r="M130" s="7"/>
      <c r="N130" s="7"/>
      <c r="O130" s="7"/>
      <c r="P130" s="7"/>
      <c r="Q130" s="7"/>
      <c r="R130" s="90"/>
    </row>
    <row r="131" spans="1:18" ht="14.4" customHeight="1">
      <c r="A131" s="49"/>
      <c r="B131" s="148">
        <v>41000</v>
      </c>
      <c r="C131" s="149">
        <v>8.1300000000000008</v>
      </c>
      <c r="D131" s="150">
        <v>0</v>
      </c>
      <c r="E131" s="151">
        <f t="shared" si="4"/>
        <v>8.1300000000000008</v>
      </c>
      <c r="F131" s="149">
        <f t="shared" si="5"/>
        <v>0.41308876581474518</v>
      </c>
      <c r="G131" s="151">
        <f t="shared" si="6"/>
        <v>0.41308876581474518</v>
      </c>
      <c r="H131" s="152">
        <v>19.681000000000001</v>
      </c>
      <c r="I131" s="153">
        <v>3.83347183876869E-2</v>
      </c>
      <c r="J131" s="154">
        <v>3.3929783768066601E-2</v>
      </c>
      <c r="K131" s="166">
        <f t="shared" si="7"/>
        <v>109.22657249451086</v>
      </c>
      <c r="L131" s="149"/>
      <c r="M131" s="7"/>
      <c r="N131" s="7"/>
      <c r="O131" s="7"/>
      <c r="P131" s="7"/>
      <c r="Q131" s="7"/>
      <c r="R131" s="90"/>
    </row>
    <row r="132" spans="1:18" ht="14.4" customHeight="1">
      <c r="A132" s="49"/>
      <c r="B132" s="148">
        <v>41030</v>
      </c>
      <c r="C132" s="149">
        <v>8.0500000000000007</v>
      </c>
      <c r="D132" s="150">
        <v>0</v>
      </c>
      <c r="E132" s="151">
        <f t="shared" si="4"/>
        <v>8.0500000000000007</v>
      </c>
      <c r="F132" s="149">
        <f t="shared" si="5"/>
        <v>0.39796321929998024</v>
      </c>
      <c r="G132" s="151">
        <f t="shared" si="6"/>
        <v>0.39796321929998024</v>
      </c>
      <c r="H132" s="152">
        <v>20.228000000000002</v>
      </c>
      <c r="I132" s="153">
        <v>3.83398766062297E-2</v>
      </c>
      <c r="J132" s="154">
        <v>3.3940805382325197E-2</v>
      </c>
      <c r="K132" s="166">
        <f t="shared" si="7"/>
        <v>108.12756279499489</v>
      </c>
      <c r="L132" s="149"/>
      <c r="M132" s="7"/>
      <c r="N132" s="7"/>
      <c r="O132" s="7"/>
      <c r="P132" s="7"/>
      <c r="Q132" s="7"/>
      <c r="R132" s="90"/>
    </row>
    <row r="133" spans="1:18" ht="14.4" customHeight="1">
      <c r="A133" s="49"/>
      <c r="B133" s="148">
        <v>41061</v>
      </c>
      <c r="C133" s="149">
        <v>7.98</v>
      </c>
      <c r="D133" s="150">
        <v>0</v>
      </c>
      <c r="E133" s="151">
        <f t="shared" si="4"/>
        <v>7.98</v>
      </c>
      <c r="F133" s="149">
        <f t="shared" si="5"/>
        <v>0.36794540759867211</v>
      </c>
      <c r="G133" s="151">
        <f t="shared" si="6"/>
        <v>0.36794540759867211</v>
      </c>
      <c r="H133" s="152">
        <v>21.687999999999999</v>
      </c>
      <c r="I133" s="153">
        <v>3.8223088428491397E-2</v>
      </c>
      <c r="J133" s="154">
        <v>3.4065949697961097E-2</v>
      </c>
      <c r="K133" s="166">
        <f t="shared" si="7"/>
        <v>107.17493296814165</v>
      </c>
      <c r="L133" s="149"/>
      <c r="M133" s="7"/>
      <c r="N133" s="7"/>
      <c r="O133" s="7"/>
      <c r="P133" s="7"/>
      <c r="Q133" s="7"/>
      <c r="R133" s="90"/>
    </row>
    <row r="134" spans="1:18" ht="14.4" customHeight="1">
      <c r="A134" s="49"/>
      <c r="B134" s="148">
        <v>41091</v>
      </c>
      <c r="C134" s="149">
        <v>7.83</v>
      </c>
      <c r="D134" s="150">
        <v>0</v>
      </c>
      <c r="E134" s="151">
        <f t="shared" si="4"/>
        <v>7.83</v>
      </c>
      <c r="F134" s="149">
        <f t="shared" si="5"/>
        <v>0.35924022756469076</v>
      </c>
      <c r="G134" s="151">
        <f t="shared" si="6"/>
        <v>0.35924022756469076</v>
      </c>
      <c r="H134" s="152">
        <v>21.795999999999999</v>
      </c>
      <c r="I134" s="153">
        <v>3.7676289689193697E-2</v>
      </c>
      <c r="J134" s="154">
        <v>3.3814886230777802E-2</v>
      </c>
      <c r="K134" s="166">
        <f t="shared" si="7"/>
        <v>106.33398667385978</v>
      </c>
      <c r="L134" s="149"/>
      <c r="M134" s="7"/>
      <c r="N134" s="7"/>
      <c r="O134" s="7"/>
      <c r="P134" s="7"/>
      <c r="Q134" s="7"/>
      <c r="R134" s="90"/>
    </row>
    <row r="135" spans="1:18" ht="14.4" customHeight="1">
      <c r="A135" s="49"/>
      <c r="B135" s="148">
        <v>41122</v>
      </c>
      <c r="C135" s="149">
        <v>7.23</v>
      </c>
      <c r="D135" s="150">
        <v>0</v>
      </c>
      <c r="E135" s="151">
        <f t="shared" si="4"/>
        <v>7.23</v>
      </c>
      <c r="F135" s="149">
        <f t="shared" si="5"/>
        <v>0.33927733458470205</v>
      </c>
      <c r="G135" s="151">
        <f t="shared" si="6"/>
        <v>0.33927733458470205</v>
      </c>
      <c r="H135" s="152">
        <v>21.31</v>
      </c>
      <c r="I135" s="153">
        <v>3.7198806446451002E-2</v>
      </c>
      <c r="J135" s="154">
        <v>3.3507073100054699E-2</v>
      </c>
      <c r="K135" s="166">
        <f t="shared" si="7"/>
        <v>99.276291034768079</v>
      </c>
      <c r="L135" s="149"/>
      <c r="M135" s="7"/>
      <c r="N135" s="7"/>
      <c r="O135" s="7"/>
      <c r="P135" s="7"/>
      <c r="Q135" s="7"/>
      <c r="R135" s="90"/>
    </row>
    <row r="136" spans="1:18" ht="14.4" customHeight="1">
      <c r="A136" s="49"/>
      <c r="B136" s="148">
        <v>41153</v>
      </c>
      <c r="C136" s="149">
        <v>7.22</v>
      </c>
      <c r="D136" s="150">
        <v>0</v>
      </c>
      <c r="E136" s="151">
        <f t="shared" ref="E136:E199" si="8">C136-D136</f>
        <v>7.22</v>
      </c>
      <c r="F136" s="149">
        <f t="shared" ref="F136:F199" si="9">C136/H136</f>
        <v>0.34027712319728531</v>
      </c>
      <c r="G136" s="151">
        <f t="shared" ref="G136:G199" si="10">E136/H136</f>
        <v>0.34027712319728531</v>
      </c>
      <c r="H136" s="152">
        <v>21.218</v>
      </c>
      <c r="I136" s="153">
        <v>3.6397794031663502E-2</v>
      </c>
      <c r="J136" s="154">
        <v>3.3721845912676698E-2</v>
      </c>
      <c r="K136" s="166">
        <f t="shared" ref="K136:K199" si="11">C136/1.03/(I136+J136)</f>
        <v>99.967837020102593</v>
      </c>
      <c r="L136" s="149"/>
      <c r="M136" s="7"/>
      <c r="N136" s="7"/>
      <c r="O136" s="7"/>
      <c r="P136" s="7"/>
      <c r="Q136" s="7"/>
      <c r="R136" s="90"/>
    </row>
    <row r="137" spans="1:18" ht="15.75" customHeight="1">
      <c r="A137" s="49"/>
      <c r="B137" s="148">
        <v>41183</v>
      </c>
      <c r="C137" s="149">
        <v>7.16</v>
      </c>
      <c r="D137" s="150">
        <v>0</v>
      </c>
      <c r="E137" s="151">
        <f t="shared" si="8"/>
        <v>7.16</v>
      </c>
      <c r="F137" s="149">
        <f t="shared" si="9"/>
        <v>0.35561736366345487</v>
      </c>
      <c r="G137" s="151">
        <f t="shared" si="10"/>
        <v>0.35561736366345487</v>
      </c>
      <c r="H137" s="152">
        <v>20.134</v>
      </c>
      <c r="I137" s="153">
        <v>3.6648371358421999E-2</v>
      </c>
      <c r="J137" s="154">
        <v>3.3212087648075803E-2</v>
      </c>
      <c r="K137" s="166">
        <f t="shared" si="11"/>
        <v>99.504875999069057</v>
      </c>
      <c r="L137" s="149"/>
      <c r="M137" s="7"/>
      <c r="N137" s="7"/>
      <c r="O137" s="7"/>
      <c r="P137" s="7"/>
      <c r="Q137" s="7"/>
      <c r="R137" s="90"/>
    </row>
    <row r="138" spans="1:18" ht="14.4" customHeight="1">
      <c r="A138" s="49"/>
      <c r="B138" s="148">
        <v>41214</v>
      </c>
      <c r="C138" s="149">
        <v>7</v>
      </c>
      <c r="D138" s="150">
        <v>0</v>
      </c>
      <c r="E138" s="151">
        <f t="shared" si="8"/>
        <v>7</v>
      </c>
      <c r="F138" s="149">
        <f t="shared" si="9"/>
        <v>0.35401810549739543</v>
      </c>
      <c r="G138" s="151">
        <f t="shared" si="10"/>
        <v>0.35401810549739543</v>
      </c>
      <c r="H138" s="152">
        <v>19.773</v>
      </c>
      <c r="I138" s="153">
        <v>3.55304327271148E-2</v>
      </c>
      <c r="J138" s="154">
        <v>3.2045628911168002E-2</v>
      </c>
      <c r="K138" s="166">
        <f t="shared" si="11"/>
        <v>100.56988140611425</v>
      </c>
      <c r="L138" s="149"/>
      <c r="M138" s="7"/>
      <c r="N138" s="7"/>
      <c r="O138" s="7"/>
      <c r="P138" s="7"/>
      <c r="Q138" s="7"/>
      <c r="R138" s="90"/>
    </row>
    <row r="139" spans="1:18" ht="14.4" customHeight="1">
      <c r="A139" s="164"/>
      <c r="B139" s="156">
        <v>41244</v>
      </c>
      <c r="C139" s="157">
        <v>6.98</v>
      </c>
      <c r="D139" s="158">
        <v>0</v>
      </c>
      <c r="E139" s="159">
        <f t="shared" si="8"/>
        <v>6.98</v>
      </c>
      <c r="F139" s="157">
        <f t="shared" si="9"/>
        <v>0.36158309158723584</v>
      </c>
      <c r="G139" s="159">
        <f t="shared" si="10"/>
        <v>0.36158309158723584</v>
      </c>
      <c r="H139" s="160">
        <v>19.303999999999998</v>
      </c>
      <c r="I139" s="161">
        <v>3.5603539744379097E-2</v>
      </c>
      <c r="J139" s="162">
        <v>3.1532529342885002E-2</v>
      </c>
      <c r="K139" s="167">
        <f t="shared" si="11"/>
        <v>100.93976488730367</v>
      </c>
      <c r="L139" s="157"/>
      <c r="M139" s="7"/>
      <c r="N139" s="7"/>
      <c r="O139" s="7"/>
      <c r="P139" s="7"/>
      <c r="Q139" s="7"/>
      <c r="R139" s="90"/>
    </row>
    <row r="140" spans="1:18" ht="14.4" customHeight="1">
      <c r="A140" s="49"/>
      <c r="B140" s="140">
        <v>41275</v>
      </c>
      <c r="C140" s="141">
        <v>7.28</v>
      </c>
      <c r="D140" s="142">
        <v>0</v>
      </c>
      <c r="E140" s="143">
        <f t="shared" si="8"/>
        <v>7.28</v>
      </c>
      <c r="F140" s="141">
        <f t="shared" si="9"/>
        <v>0.37665562913907286</v>
      </c>
      <c r="G140" s="143">
        <f t="shared" si="10"/>
        <v>0.37665562913907286</v>
      </c>
      <c r="H140" s="144">
        <v>19.327999999999999</v>
      </c>
      <c r="I140" s="145">
        <v>3.6288317298224501E-2</v>
      </c>
      <c r="J140" s="146">
        <v>3.1817805835464098E-2</v>
      </c>
      <c r="K140" s="165">
        <f t="shared" si="11"/>
        <v>103.77864485362824</v>
      </c>
      <c r="L140" s="141"/>
      <c r="M140" s="7"/>
      <c r="N140" s="7"/>
      <c r="O140" s="7"/>
      <c r="P140" s="7"/>
      <c r="Q140" s="7"/>
      <c r="R140" s="90"/>
    </row>
    <row r="141" spans="1:18" ht="14.4" customHeight="1">
      <c r="A141" s="49"/>
      <c r="B141" s="148">
        <v>41306</v>
      </c>
      <c r="C141" s="149">
        <v>7.61</v>
      </c>
      <c r="D141" s="150">
        <v>0</v>
      </c>
      <c r="E141" s="151">
        <f t="shared" si="8"/>
        <v>7.61</v>
      </c>
      <c r="F141" s="149">
        <f t="shared" si="9"/>
        <v>0.39815832156124109</v>
      </c>
      <c r="G141" s="151">
        <f t="shared" si="10"/>
        <v>0.39815832156124109</v>
      </c>
      <c r="H141" s="152">
        <v>19.113</v>
      </c>
      <c r="I141" s="153">
        <v>3.72902899122078E-2</v>
      </c>
      <c r="J141" s="154">
        <v>3.2237581816493797E-2</v>
      </c>
      <c r="K141" s="166">
        <f t="shared" si="11"/>
        <v>106.2645717589705</v>
      </c>
      <c r="L141" s="149"/>
      <c r="M141" s="7"/>
      <c r="N141" s="7"/>
      <c r="O141" s="7"/>
      <c r="P141" s="7"/>
      <c r="Q141" s="7"/>
      <c r="R141" s="90"/>
    </row>
    <row r="142" spans="1:18" ht="15.75" customHeight="1">
      <c r="A142" s="49"/>
      <c r="B142" s="148">
        <v>41334</v>
      </c>
      <c r="C142" s="149">
        <v>8.08</v>
      </c>
      <c r="D142" s="150">
        <v>0</v>
      </c>
      <c r="E142" s="151">
        <f t="shared" si="8"/>
        <v>8.08</v>
      </c>
      <c r="F142" s="149">
        <f t="shared" si="9"/>
        <v>0.42526315789473684</v>
      </c>
      <c r="G142" s="151">
        <f t="shared" si="10"/>
        <v>0.42526315789473684</v>
      </c>
      <c r="H142" s="152">
        <v>19</v>
      </c>
      <c r="I142" s="153">
        <v>3.8544455582634501E-2</v>
      </c>
      <c r="J142" s="154">
        <v>3.3988755904737898E-2</v>
      </c>
      <c r="K142" s="166">
        <f t="shared" si="11"/>
        <v>108.15266597619858</v>
      </c>
      <c r="L142" s="149"/>
      <c r="M142" s="7"/>
      <c r="N142" s="7"/>
      <c r="O142" s="7"/>
      <c r="P142" s="7"/>
      <c r="Q142" s="7"/>
      <c r="R142" s="90"/>
    </row>
    <row r="143" spans="1:18" ht="14.4" customHeight="1">
      <c r="A143" s="49"/>
      <c r="B143" s="148">
        <v>41365</v>
      </c>
      <c r="C143" s="149">
        <v>8.44</v>
      </c>
      <c r="D143" s="150">
        <v>0</v>
      </c>
      <c r="E143" s="151">
        <f t="shared" si="8"/>
        <v>8.44</v>
      </c>
      <c r="F143" s="149">
        <f t="shared" si="9"/>
        <v>0.44451466793068944</v>
      </c>
      <c r="G143" s="151">
        <f t="shared" si="10"/>
        <v>0.44451466793068944</v>
      </c>
      <c r="H143" s="152">
        <v>18.986999999999998</v>
      </c>
      <c r="I143" s="153">
        <v>3.8421909513423301E-2</v>
      </c>
      <c r="J143" s="154">
        <v>3.4012864214348397E-2</v>
      </c>
      <c r="K143" s="166">
        <f t="shared" si="11"/>
        <v>113.12487546488853</v>
      </c>
      <c r="L143" s="149"/>
      <c r="M143" s="7"/>
      <c r="N143" s="7"/>
      <c r="O143" s="7"/>
      <c r="P143" s="7"/>
      <c r="Q143" s="7"/>
      <c r="R143" s="90"/>
    </row>
    <row r="144" spans="1:18" ht="14.4" customHeight="1">
      <c r="A144" s="49"/>
      <c r="B144" s="148">
        <v>41395</v>
      </c>
      <c r="C144" s="149">
        <v>8.56</v>
      </c>
      <c r="D144" s="150">
        <v>0</v>
      </c>
      <c r="E144" s="151">
        <f t="shared" si="8"/>
        <v>8.56</v>
      </c>
      <c r="F144" s="149">
        <f t="shared" si="9"/>
        <v>0.44451368333592978</v>
      </c>
      <c r="G144" s="151">
        <f t="shared" si="10"/>
        <v>0.44451368333592978</v>
      </c>
      <c r="H144" s="152">
        <v>19.257000000000001</v>
      </c>
      <c r="I144" s="153">
        <v>3.8145414853661498E-2</v>
      </c>
      <c r="J144" s="154">
        <v>3.4018574280977203E-2</v>
      </c>
      <c r="K144" s="166">
        <f t="shared" si="11"/>
        <v>115.16380553942189</v>
      </c>
      <c r="L144" s="149"/>
      <c r="M144" s="7"/>
      <c r="N144" s="7"/>
      <c r="O144" s="7"/>
      <c r="P144" s="7"/>
      <c r="Q144" s="7"/>
      <c r="R144" s="90"/>
    </row>
    <row r="145" spans="1:18" ht="14.4" customHeight="1">
      <c r="A145" s="49"/>
      <c r="B145" s="148">
        <v>41426</v>
      </c>
      <c r="C145" s="149">
        <v>8.3800000000000008</v>
      </c>
      <c r="D145" s="150">
        <v>0</v>
      </c>
      <c r="E145" s="151">
        <f t="shared" si="8"/>
        <v>8.3800000000000008</v>
      </c>
      <c r="F145" s="149">
        <f t="shared" si="9"/>
        <v>0.40532043530834344</v>
      </c>
      <c r="G145" s="151">
        <f t="shared" si="10"/>
        <v>0.40532043530834344</v>
      </c>
      <c r="H145" s="152">
        <v>20.675000000000001</v>
      </c>
      <c r="I145" s="153">
        <v>3.7312759399958699E-2</v>
      </c>
      <c r="J145" s="154">
        <v>3.3596662484537299E-2</v>
      </c>
      <c r="K145" s="166">
        <f t="shared" si="11"/>
        <v>114.73683064783197</v>
      </c>
      <c r="L145" s="149"/>
      <c r="M145" s="7"/>
      <c r="N145" s="7"/>
      <c r="O145" s="7"/>
      <c r="P145" s="7"/>
      <c r="Q145" s="7"/>
      <c r="R145" s="90"/>
    </row>
    <row r="146" spans="1:18" ht="14.4" customHeight="1">
      <c r="A146" s="49"/>
      <c r="B146" s="148">
        <v>41456</v>
      </c>
      <c r="C146" s="149">
        <v>8.33</v>
      </c>
      <c r="D146" s="150">
        <v>0</v>
      </c>
      <c r="E146" s="151">
        <f t="shared" si="8"/>
        <v>8.33</v>
      </c>
      <c r="F146" s="149">
        <f t="shared" si="9"/>
        <v>0.39529255445356615</v>
      </c>
      <c r="G146" s="151">
        <f t="shared" si="10"/>
        <v>0.39529255445356615</v>
      </c>
      <c r="H146" s="152">
        <v>21.073</v>
      </c>
      <c r="I146" s="153">
        <v>3.7399445466680899E-2</v>
      </c>
      <c r="J146" s="154">
        <v>3.3145456727407603E-2</v>
      </c>
      <c r="K146" s="166">
        <f t="shared" si="11"/>
        <v>114.6415742207153</v>
      </c>
      <c r="L146" s="149"/>
      <c r="M146" s="7"/>
      <c r="N146" s="7"/>
      <c r="O146" s="7"/>
      <c r="P146" s="7"/>
      <c r="Q146" s="7"/>
      <c r="R146" s="90"/>
    </row>
    <row r="147" spans="1:18" ht="14.4" customHeight="1">
      <c r="A147" s="49"/>
      <c r="B147" s="148">
        <v>41487</v>
      </c>
      <c r="C147" s="149">
        <v>8.56</v>
      </c>
      <c r="D147" s="150">
        <v>0</v>
      </c>
      <c r="E147" s="151">
        <f t="shared" si="8"/>
        <v>8.56</v>
      </c>
      <c r="F147" s="149">
        <f t="shared" si="9"/>
        <v>0.3911354809230066</v>
      </c>
      <c r="G147" s="151">
        <f t="shared" si="10"/>
        <v>0.3911354809230066</v>
      </c>
      <c r="H147" s="152">
        <v>21.885000000000002</v>
      </c>
      <c r="I147" s="153">
        <v>3.6527945399695699E-2</v>
      </c>
      <c r="J147" s="154">
        <v>3.3347583964237003E-2</v>
      </c>
      <c r="K147" s="166">
        <f t="shared" si="11"/>
        <v>118.93547980675716</v>
      </c>
      <c r="L147" s="168"/>
      <c r="M147" s="7"/>
      <c r="N147" s="7"/>
      <c r="O147" s="7"/>
      <c r="P147" s="7"/>
      <c r="Q147" s="7"/>
      <c r="R147" s="90"/>
    </row>
    <row r="148" spans="1:18" ht="14.4" customHeight="1">
      <c r="A148" s="49"/>
      <c r="B148" s="148">
        <v>41518</v>
      </c>
      <c r="C148" s="149">
        <v>9.02</v>
      </c>
      <c r="D148" s="150">
        <v>0</v>
      </c>
      <c r="E148" s="151">
        <f t="shared" si="8"/>
        <v>9.02</v>
      </c>
      <c r="F148" s="149">
        <f t="shared" si="9"/>
        <v>0.40731542108828178</v>
      </c>
      <c r="G148" s="151">
        <f t="shared" si="10"/>
        <v>0.40731542108828178</v>
      </c>
      <c r="H148" s="152">
        <v>22.145</v>
      </c>
      <c r="I148" s="153">
        <v>3.6788778297918101E-2</v>
      </c>
      <c r="J148" s="154">
        <v>3.3873507991723298E-2</v>
      </c>
      <c r="K148" s="166">
        <f t="shared" si="11"/>
        <v>123.9314776414447</v>
      </c>
      <c r="L148" s="168"/>
      <c r="M148" s="7"/>
      <c r="N148" s="7"/>
      <c r="O148" s="7"/>
      <c r="P148" s="7"/>
      <c r="Q148" s="7"/>
      <c r="R148" s="90"/>
    </row>
    <row r="149" spans="1:18" ht="14.4" customHeight="1">
      <c r="A149" s="49"/>
      <c r="B149" s="148">
        <v>41548</v>
      </c>
      <c r="C149" s="149">
        <v>9.43</v>
      </c>
      <c r="D149" s="150">
        <v>0</v>
      </c>
      <c r="E149" s="151">
        <f t="shared" si="8"/>
        <v>9.43</v>
      </c>
      <c r="F149" s="149">
        <f t="shared" si="9"/>
        <v>0.43576709796672825</v>
      </c>
      <c r="G149" s="151">
        <f t="shared" si="10"/>
        <v>0.43576709796672825</v>
      </c>
      <c r="H149" s="152">
        <v>21.64</v>
      </c>
      <c r="I149" s="153">
        <v>3.5948186981993903E-2</v>
      </c>
      <c r="J149" s="154">
        <v>3.3461955601897998E-2</v>
      </c>
      <c r="K149" s="166">
        <f t="shared" si="11"/>
        <v>131.90204579625708</v>
      </c>
      <c r="L149" s="168"/>
      <c r="M149" s="7"/>
      <c r="N149" s="7"/>
      <c r="O149" s="7"/>
      <c r="P149" s="7"/>
      <c r="Q149" s="7"/>
      <c r="R149" s="90"/>
    </row>
    <row r="150" spans="1:18" ht="14.4" customHeight="1">
      <c r="A150" s="49"/>
      <c r="B150" s="148">
        <v>41579</v>
      </c>
      <c r="C150" s="149">
        <v>9.49</v>
      </c>
      <c r="D150" s="150">
        <v>0</v>
      </c>
      <c r="E150" s="151">
        <f t="shared" si="8"/>
        <v>9.49</v>
      </c>
      <c r="F150" s="149">
        <f t="shared" si="9"/>
        <v>0.44453813003560055</v>
      </c>
      <c r="G150" s="151">
        <f t="shared" si="10"/>
        <v>0.44453813003560055</v>
      </c>
      <c r="H150" s="152">
        <v>21.347999999999999</v>
      </c>
      <c r="I150" s="153">
        <v>3.5807391723338702E-2</v>
      </c>
      <c r="J150" s="154">
        <v>3.2778556061914897E-2</v>
      </c>
      <c r="K150" s="166">
        <f t="shared" si="11"/>
        <v>134.33644252986016</v>
      </c>
      <c r="L150" s="168"/>
      <c r="M150" s="7"/>
      <c r="N150" s="7"/>
      <c r="O150" s="7"/>
      <c r="P150" s="7"/>
      <c r="Q150" s="7"/>
      <c r="R150" s="90"/>
    </row>
    <row r="151" spans="1:18" ht="14.4" customHeight="1">
      <c r="A151" s="49"/>
      <c r="B151" s="156">
        <v>41609</v>
      </c>
      <c r="C151" s="157">
        <v>9.32</v>
      </c>
      <c r="D151" s="158">
        <v>0</v>
      </c>
      <c r="E151" s="159">
        <f t="shared" si="8"/>
        <v>9.32</v>
      </c>
      <c r="F151" s="157">
        <f t="shared" si="9"/>
        <v>0.43626831437532182</v>
      </c>
      <c r="G151" s="159">
        <f t="shared" si="10"/>
        <v>0.43626831437532182</v>
      </c>
      <c r="H151" s="160">
        <v>21.363</v>
      </c>
      <c r="I151" s="161">
        <v>3.5733648907098702E-2</v>
      </c>
      <c r="J151" s="162">
        <v>3.1869098226162802E-2</v>
      </c>
      <c r="K151" s="167">
        <f t="shared" si="11"/>
        <v>133.84875723294945</v>
      </c>
      <c r="L151" s="169"/>
      <c r="M151" s="7"/>
      <c r="N151" s="7"/>
      <c r="O151" s="7"/>
      <c r="P151" s="7"/>
      <c r="Q151" s="7"/>
      <c r="R151" s="90"/>
    </row>
    <row r="152" spans="1:18" ht="14.4" customHeight="1">
      <c r="A152" s="49"/>
      <c r="B152" s="140">
        <v>41640</v>
      </c>
      <c r="C152" s="141">
        <v>9.76</v>
      </c>
      <c r="D152" s="142">
        <v>0</v>
      </c>
      <c r="E152" s="143">
        <f t="shared" si="8"/>
        <v>9.76</v>
      </c>
      <c r="F152" s="141">
        <f t="shared" si="9"/>
        <v>0.45068341337273737</v>
      </c>
      <c r="G152" s="143">
        <f t="shared" si="10"/>
        <v>0.45068341337273737</v>
      </c>
      <c r="H152" s="144">
        <v>21.655999999999999</v>
      </c>
      <c r="I152" s="145">
        <v>3.64910222298526E-2</v>
      </c>
      <c r="J152" s="146">
        <v>3.2178454707549403E-2</v>
      </c>
      <c r="K152" s="165">
        <f t="shared" si="11"/>
        <v>137.99039366468057</v>
      </c>
      <c r="L152" s="170"/>
      <c r="M152" s="7"/>
      <c r="N152" s="7"/>
      <c r="O152" s="7"/>
      <c r="P152" s="7"/>
      <c r="Q152" s="7"/>
      <c r="R152" s="90"/>
    </row>
    <row r="153" spans="1:18" ht="14.4" customHeight="1">
      <c r="A153" s="49"/>
      <c r="B153" s="148">
        <v>41671</v>
      </c>
      <c r="C153" s="149">
        <v>10.08</v>
      </c>
      <c r="D153" s="150">
        <v>0</v>
      </c>
      <c r="E153" s="151">
        <f t="shared" si="8"/>
        <v>10.08</v>
      </c>
      <c r="F153" s="149">
        <f t="shared" si="9"/>
        <v>0.45052292839903463</v>
      </c>
      <c r="G153" s="151">
        <f t="shared" si="10"/>
        <v>0.45052292839903463</v>
      </c>
      <c r="H153" s="152">
        <v>22.373999999999999</v>
      </c>
      <c r="I153" s="153">
        <v>3.7966868829009702E-2</v>
      </c>
      <c r="J153" s="154">
        <v>3.3013190500941501E-2</v>
      </c>
      <c r="K153" s="166">
        <f t="shared" si="11"/>
        <v>137.87545205475413</v>
      </c>
      <c r="L153" s="168"/>
      <c r="M153" s="7"/>
      <c r="N153" s="7"/>
      <c r="O153" s="7"/>
      <c r="P153" s="7"/>
      <c r="Q153" s="7"/>
      <c r="R153" s="90"/>
    </row>
    <row r="154" spans="1:18" ht="15.75" customHeight="1">
      <c r="A154" s="49"/>
      <c r="B154" s="148">
        <v>41699</v>
      </c>
      <c r="C154" s="149">
        <v>10.48</v>
      </c>
      <c r="D154" s="150">
        <v>0</v>
      </c>
      <c r="E154" s="151">
        <f t="shared" si="8"/>
        <v>10.48</v>
      </c>
      <c r="F154" s="149">
        <f t="shared" si="9"/>
        <v>0.46299977910315882</v>
      </c>
      <c r="G154" s="151">
        <f t="shared" si="10"/>
        <v>0.46299977910315882</v>
      </c>
      <c r="H154" s="152">
        <v>22.635000000000002</v>
      </c>
      <c r="I154" s="153">
        <v>3.8558014928275999E-2</v>
      </c>
      <c r="J154" s="154">
        <v>3.4258242853312401E-2</v>
      </c>
      <c r="K154" s="166">
        <f t="shared" si="11"/>
        <v>139.73194436979276</v>
      </c>
      <c r="L154" s="168"/>
      <c r="M154" s="7"/>
      <c r="N154" s="7"/>
      <c r="O154" s="7"/>
      <c r="P154" s="7"/>
      <c r="Q154" s="7"/>
      <c r="R154" s="90"/>
    </row>
    <row r="155" spans="1:18" ht="14.4" customHeight="1">
      <c r="A155" s="49"/>
      <c r="B155" s="148">
        <v>41730</v>
      </c>
      <c r="C155" s="149">
        <v>10.56</v>
      </c>
      <c r="D155" s="150">
        <v>0</v>
      </c>
      <c r="E155" s="151">
        <f t="shared" si="8"/>
        <v>10.56</v>
      </c>
      <c r="F155" s="149">
        <f t="shared" si="9"/>
        <v>0.46208375268017327</v>
      </c>
      <c r="G155" s="151">
        <f t="shared" si="10"/>
        <v>0.46208375268017327</v>
      </c>
      <c r="H155" s="152">
        <v>22.853000000000002</v>
      </c>
      <c r="I155" s="153">
        <v>3.8855878957783301E-2</v>
      </c>
      <c r="J155" s="154">
        <v>3.4452252850357599E-2</v>
      </c>
      <c r="K155" s="166">
        <f t="shared" si="11"/>
        <v>139.85388703259088</v>
      </c>
      <c r="L155" s="168"/>
      <c r="M155" s="7"/>
      <c r="N155" s="7"/>
      <c r="O155" s="7"/>
      <c r="P155" s="7"/>
      <c r="Q155" s="7"/>
      <c r="R155" s="90"/>
    </row>
    <row r="156" spans="1:18" ht="14.4" customHeight="1">
      <c r="A156" s="49"/>
      <c r="B156" s="148">
        <v>41760</v>
      </c>
      <c r="C156" s="149">
        <v>10.55</v>
      </c>
      <c r="D156" s="150">
        <v>0</v>
      </c>
      <c r="E156" s="151">
        <f t="shared" si="8"/>
        <v>10.55</v>
      </c>
      <c r="F156" s="149">
        <f t="shared" si="9"/>
        <v>0.45825731908609163</v>
      </c>
      <c r="G156" s="151">
        <f t="shared" si="10"/>
        <v>0.45825731908609163</v>
      </c>
      <c r="H156" s="152">
        <v>23.021999999999998</v>
      </c>
      <c r="I156" s="153">
        <v>3.8321652598785602E-2</v>
      </c>
      <c r="J156" s="154">
        <v>3.4289889463488203E-2</v>
      </c>
      <c r="K156" s="166">
        <f t="shared" si="11"/>
        <v>141.06184988906426</v>
      </c>
      <c r="L156" s="168"/>
      <c r="M156" s="7"/>
      <c r="N156" s="7"/>
      <c r="O156" s="7"/>
      <c r="P156" s="7"/>
      <c r="Q156" s="7"/>
      <c r="R156" s="90"/>
    </row>
    <row r="157" spans="1:18" ht="14.4" customHeight="1">
      <c r="A157" s="49"/>
      <c r="B157" s="148">
        <v>41791</v>
      </c>
      <c r="C157" s="149">
        <v>10.51</v>
      </c>
      <c r="D157" s="150">
        <v>0</v>
      </c>
      <c r="E157" s="151">
        <f t="shared" si="8"/>
        <v>10.51</v>
      </c>
      <c r="F157" s="149">
        <f t="shared" si="9"/>
        <v>0.45783237497821921</v>
      </c>
      <c r="G157" s="151">
        <f t="shared" si="10"/>
        <v>0.45783237497821921</v>
      </c>
      <c r="H157" s="152">
        <v>22.956</v>
      </c>
      <c r="I157" s="153">
        <v>3.8396867610976097E-2</v>
      </c>
      <c r="J157" s="154">
        <v>3.4056278547467601E-2</v>
      </c>
      <c r="K157" s="166">
        <f t="shared" si="11"/>
        <v>140.83423613974378</v>
      </c>
      <c r="L157" s="168"/>
      <c r="M157" s="7"/>
      <c r="N157" s="7"/>
      <c r="O157" s="7"/>
      <c r="P157" s="7"/>
      <c r="Q157" s="7"/>
      <c r="R157" s="90"/>
    </row>
    <row r="158" spans="1:18" ht="14.4" customHeight="1">
      <c r="A158" s="49"/>
      <c r="B158" s="148">
        <v>41821</v>
      </c>
      <c r="C158" s="149">
        <v>10.18</v>
      </c>
      <c r="D158" s="150">
        <v>0</v>
      </c>
      <c r="E158" s="151">
        <f t="shared" si="8"/>
        <v>10.18</v>
      </c>
      <c r="F158" s="149">
        <f t="shared" si="9"/>
        <v>0.44255097161239837</v>
      </c>
      <c r="G158" s="151">
        <f t="shared" si="10"/>
        <v>0.44255097161239837</v>
      </c>
      <c r="H158" s="152">
        <v>23.003</v>
      </c>
      <c r="I158" s="153">
        <v>3.7404763591441299E-2</v>
      </c>
      <c r="J158" s="154">
        <v>3.3412053331902197E-2</v>
      </c>
      <c r="K158" s="166">
        <f t="shared" si="11"/>
        <v>139.56423876449537</v>
      </c>
      <c r="L158" s="168"/>
      <c r="M158" s="7"/>
      <c r="N158" s="7"/>
      <c r="O158" s="7"/>
      <c r="P158" s="7"/>
      <c r="Q158" s="7"/>
      <c r="R158" s="90"/>
    </row>
    <row r="159" spans="1:18" ht="14.4" customHeight="1">
      <c r="A159" s="49"/>
      <c r="B159" s="148">
        <v>41852</v>
      </c>
      <c r="C159" s="149">
        <v>9.74</v>
      </c>
      <c r="D159" s="150">
        <v>0</v>
      </c>
      <c r="E159" s="151">
        <f t="shared" si="8"/>
        <v>9.74</v>
      </c>
      <c r="F159" s="149">
        <f t="shared" si="9"/>
        <v>0.41062394603709951</v>
      </c>
      <c r="G159" s="151">
        <f t="shared" si="10"/>
        <v>0.41062394603709951</v>
      </c>
      <c r="H159" s="152">
        <v>23.72</v>
      </c>
      <c r="I159" s="153">
        <v>3.6688853254171497E-2</v>
      </c>
      <c r="J159" s="154">
        <v>3.3692989130390198E-2</v>
      </c>
      <c r="K159" s="166">
        <f t="shared" si="11"/>
        <v>134.35724839288804</v>
      </c>
      <c r="L159" s="168"/>
      <c r="M159" s="7"/>
      <c r="N159" s="7"/>
      <c r="O159" s="7"/>
      <c r="P159" s="7"/>
      <c r="Q159" s="7"/>
      <c r="R159" s="90"/>
    </row>
    <row r="160" spans="1:18" ht="14.4" customHeight="1">
      <c r="A160" s="49"/>
      <c r="B160" s="148">
        <v>41883</v>
      </c>
      <c r="C160" s="149">
        <v>9.67</v>
      </c>
      <c r="D160" s="150">
        <v>0</v>
      </c>
      <c r="E160" s="151">
        <f t="shared" si="8"/>
        <v>9.67</v>
      </c>
      <c r="F160" s="149">
        <f t="shared" si="9"/>
        <v>0.39763148155762984</v>
      </c>
      <c r="G160" s="151">
        <f t="shared" si="10"/>
        <v>0.39763148155762984</v>
      </c>
      <c r="H160" s="152">
        <v>24.318999999999999</v>
      </c>
      <c r="I160" s="153">
        <v>3.6461146616984297E-2</v>
      </c>
      <c r="J160" s="154">
        <v>3.3768217867544401E-2</v>
      </c>
      <c r="K160" s="166">
        <f t="shared" si="11"/>
        <v>133.68125403770853</v>
      </c>
      <c r="L160" s="168"/>
      <c r="M160" s="7"/>
      <c r="N160" s="7"/>
      <c r="O160" s="7"/>
      <c r="P160" s="7"/>
      <c r="Q160" s="7"/>
      <c r="R160" s="90"/>
    </row>
    <row r="161" spans="1:18" ht="14.4" customHeight="1">
      <c r="A161" s="49"/>
      <c r="B161" s="148">
        <v>41913</v>
      </c>
      <c r="C161" s="149">
        <v>9.2100000000000009</v>
      </c>
      <c r="D161" s="150">
        <v>0</v>
      </c>
      <c r="E161" s="151">
        <f t="shared" si="8"/>
        <v>9.2100000000000009</v>
      </c>
      <c r="F161" s="149">
        <f t="shared" si="9"/>
        <v>0.378762954433295</v>
      </c>
      <c r="G161" s="151">
        <f t="shared" si="10"/>
        <v>0.378762954433295</v>
      </c>
      <c r="H161" s="152">
        <v>24.315999999999999</v>
      </c>
      <c r="I161" s="153">
        <v>3.6134234024656597E-2</v>
      </c>
      <c r="J161" s="154">
        <v>3.32999314683112E-2</v>
      </c>
      <c r="K161" s="166">
        <f t="shared" si="11"/>
        <v>128.78022669864367</v>
      </c>
      <c r="L161" s="168"/>
      <c r="M161" s="7"/>
      <c r="N161" s="7"/>
      <c r="O161" s="7"/>
      <c r="P161" s="7"/>
      <c r="Q161" s="7"/>
      <c r="R161" s="90"/>
    </row>
    <row r="162" spans="1:18" ht="14.4" customHeight="1">
      <c r="A162" s="49"/>
      <c r="B162" s="148">
        <v>41944</v>
      </c>
      <c r="C162" s="149">
        <v>9.1</v>
      </c>
      <c r="D162" s="150">
        <v>0</v>
      </c>
      <c r="E162" s="151">
        <f t="shared" si="8"/>
        <v>9.1</v>
      </c>
      <c r="F162" s="149">
        <f t="shared" si="9"/>
        <v>0.37927728920935272</v>
      </c>
      <c r="G162" s="151">
        <f t="shared" si="10"/>
        <v>0.37927728920935272</v>
      </c>
      <c r="H162" s="152">
        <v>23.992999999999999</v>
      </c>
      <c r="I162" s="153">
        <v>3.6444661784826297E-2</v>
      </c>
      <c r="J162" s="154">
        <v>3.2806306043221302E-2</v>
      </c>
      <c r="K162" s="166">
        <f t="shared" si="11"/>
        <v>127.57874342273669</v>
      </c>
      <c r="L162" s="168"/>
      <c r="M162" s="7"/>
      <c r="N162" s="7"/>
      <c r="O162" s="7"/>
      <c r="P162" s="7"/>
      <c r="Q162" s="7"/>
      <c r="R162" s="90"/>
    </row>
    <row r="163" spans="1:18" ht="14.4" customHeight="1">
      <c r="A163" s="49"/>
      <c r="B163" s="156">
        <v>41974</v>
      </c>
      <c r="C163" s="157">
        <v>9.07</v>
      </c>
      <c r="D163" s="158">
        <v>0</v>
      </c>
      <c r="E163" s="159">
        <f t="shared" si="8"/>
        <v>9.07</v>
      </c>
      <c r="F163" s="157">
        <f t="shared" si="9"/>
        <v>0.3762392666030614</v>
      </c>
      <c r="G163" s="159">
        <f t="shared" si="10"/>
        <v>0.3762392666030614</v>
      </c>
      <c r="H163" s="160">
        <v>24.106999999999999</v>
      </c>
      <c r="I163" s="161">
        <v>3.6916516650921299E-2</v>
      </c>
      <c r="J163" s="162">
        <v>3.2365486829582998E-2</v>
      </c>
      <c r="K163" s="167">
        <f t="shared" si="11"/>
        <v>127.101192233801</v>
      </c>
      <c r="L163" s="169"/>
      <c r="M163" s="7"/>
      <c r="N163" s="7"/>
      <c r="O163" s="7"/>
      <c r="P163" s="7"/>
      <c r="Q163" s="7"/>
      <c r="R163" s="90"/>
    </row>
    <row r="164" spans="1:18" ht="14.4" customHeight="1">
      <c r="A164" s="49"/>
      <c r="B164" s="140">
        <v>42005</v>
      </c>
      <c r="C164" s="141">
        <v>9.0115521928092992</v>
      </c>
      <c r="D164" s="142">
        <v>0</v>
      </c>
      <c r="E164" s="143">
        <f t="shared" si="8"/>
        <v>9.0115521928092992</v>
      </c>
      <c r="F164" s="141">
        <f t="shared" si="9"/>
        <v>0.36826939897054761</v>
      </c>
      <c r="G164" s="143">
        <f t="shared" si="10"/>
        <v>0.36826939897054761</v>
      </c>
      <c r="H164" s="144">
        <v>24.47</v>
      </c>
      <c r="I164" s="145">
        <v>3.7133287243522203E-2</v>
      </c>
      <c r="J164" s="146">
        <v>3.21745902418651E-2</v>
      </c>
      <c r="K164" s="165">
        <f t="shared" si="11"/>
        <v>126.23499833317811</v>
      </c>
      <c r="L164" s="170"/>
      <c r="M164" s="7"/>
      <c r="N164" s="7"/>
      <c r="O164" s="7"/>
      <c r="P164" s="7"/>
      <c r="Q164" s="7"/>
      <c r="R164" s="90"/>
    </row>
    <row r="165" spans="1:18" ht="14.4" customHeight="1">
      <c r="A165" s="49"/>
      <c r="B165" s="148">
        <v>42036</v>
      </c>
      <c r="C165" s="149">
        <v>9.1436216545399809</v>
      </c>
      <c r="D165" s="150">
        <v>0</v>
      </c>
      <c r="E165" s="151">
        <f t="shared" si="8"/>
        <v>9.1436216545399809</v>
      </c>
      <c r="F165" s="149">
        <f t="shared" si="9"/>
        <v>0.37208519795474809</v>
      </c>
      <c r="G165" s="151">
        <f t="shared" si="10"/>
        <v>0.37208519795474809</v>
      </c>
      <c r="H165" s="152">
        <v>24.574000000000002</v>
      </c>
      <c r="I165" s="153">
        <v>3.7498627941266502E-2</v>
      </c>
      <c r="J165" s="154">
        <v>3.28156385667078E-2</v>
      </c>
      <c r="K165" s="166">
        <f t="shared" si="11"/>
        <v>126.25179807879405</v>
      </c>
      <c r="L165" s="168"/>
      <c r="M165" s="7"/>
      <c r="N165" s="7"/>
      <c r="O165" s="7"/>
      <c r="P165" s="7"/>
      <c r="Q165" s="7"/>
      <c r="R165" s="90"/>
    </row>
    <row r="166" spans="1:18" ht="14.4" customHeight="1">
      <c r="A166" s="49"/>
      <c r="B166" s="148">
        <v>42064</v>
      </c>
      <c r="C166" s="149">
        <v>9.1280965493978705</v>
      </c>
      <c r="D166" s="150">
        <v>0</v>
      </c>
      <c r="E166" s="151">
        <f t="shared" si="8"/>
        <v>9.1280965493978705</v>
      </c>
      <c r="F166" s="149">
        <f t="shared" si="9"/>
        <v>0.36099408959099383</v>
      </c>
      <c r="G166" s="151">
        <f t="shared" si="10"/>
        <v>0.36099408959099383</v>
      </c>
      <c r="H166" s="152">
        <v>25.286000000000001</v>
      </c>
      <c r="I166" s="153">
        <v>3.8605771230139502E-2</v>
      </c>
      <c r="J166" s="154">
        <v>3.3700444937947001E-2</v>
      </c>
      <c r="K166" s="166">
        <f t="shared" si="11"/>
        <v>122.56525274407969</v>
      </c>
      <c r="L166" s="168"/>
      <c r="M166" s="7"/>
      <c r="N166" s="7"/>
      <c r="O166" s="7"/>
      <c r="P166" s="7"/>
      <c r="Q166" s="7"/>
      <c r="R166" s="90"/>
    </row>
    <row r="167" spans="1:18" ht="14.4" customHeight="1">
      <c r="A167" s="49"/>
      <c r="B167" s="148">
        <v>42095</v>
      </c>
      <c r="C167" s="149">
        <v>9.0039205355703693</v>
      </c>
      <c r="D167" s="150">
        <v>0</v>
      </c>
      <c r="E167" s="151">
        <f t="shared" si="8"/>
        <v>9.0039205355703693</v>
      </c>
      <c r="F167" s="149">
        <f t="shared" si="9"/>
        <v>0.34169179672765243</v>
      </c>
      <c r="G167" s="151">
        <f t="shared" si="10"/>
        <v>0.34169179672765243</v>
      </c>
      <c r="H167" s="152">
        <v>26.350999999999999</v>
      </c>
      <c r="I167" s="153">
        <v>3.9585440640588901E-2</v>
      </c>
      <c r="J167" s="154">
        <v>3.3900097534119301E-2</v>
      </c>
      <c r="K167" s="166">
        <f t="shared" si="11"/>
        <v>118.95769752819891</v>
      </c>
      <c r="L167" s="168"/>
      <c r="M167" s="7"/>
      <c r="N167" s="7"/>
      <c r="O167" s="7"/>
      <c r="P167" s="7"/>
      <c r="Q167" s="7"/>
      <c r="R167" s="90"/>
    </row>
    <row r="168" spans="1:18" ht="14.4" customHeight="1">
      <c r="A168" s="49"/>
      <c r="B168" s="148">
        <v>42125</v>
      </c>
      <c r="C168" s="149">
        <v>8.5713806047891996</v>
      </c>
      <c r="D168" s="150">
        <v>0</v>
      </c>
      <c r="E168" s="151">
        <f t="shared" si="8"/>
        <v>8.5713806047891996</v>
      </c>
      <c r="F168" s="149">
        <f t="shared" si="9"/>
        <v>0.32144686310853926</v>
      </c>
      <c r="G168" s="151">
        <f t="shared" si="10"/>
        <v>0.32144686310853926</v>
      </c>
      <c r="H168" s="152">
        <v>26.664999999999999</v>
      </c>
      <c r="I168" s="153">
        <v>3.9045765853379599E-2</v>
      </c>
      <c r="J168" s="154">
        <v>3.3720224136512697E-2</v>
      </c>
      <c r="K168" s="166">
        <f t="shared" si="11"/>
        <v>114.36288771264888</v>
      </c>
      <c r="L168" s="168"/>
      <c r="M168" s="7"/>
      <c r="N168" s="7"/>
      <c r="O168" s="7"/>
      <c r="P168" s="7"/>
      <c r="Q168" s="7"/>
      <c r="R168" s="90"/>
    </row>
    <row r="169" spans="1:18" ht="14.4" customHeight="1">
      <c r="A169" s="49"/>
      <c r="B169" s="148">
        <v>42156</v>
      </c>
      <c r="C169" s="149">
        <v>7.9003450600535698</v>
      </c>
      <c r="D169" s="150">
        <v>0</v>
      </c>
      <c r="E169" s="151">
        <f t="shared" si="8"/>
        <v>7.9003450600535698</v>
      </c>
      <c r="F169" s="149">
        <f t="shared" si="9"/>
        <v>0.29426195843465325</v>
      </c>
      <c r="G169" s="151">
        <f t="shared" si="10"/>
        <v>0.29426195843465325</v>
      </c>
      <c r="H169" s="152">
        <v>26.847999999999999</v>
      </c>
      <c r="I169" s="153">
        <v>3.8547358369020998E-2</v>
      </c>
      <c r="J169" s="154">
        <v>3.3526755193131502E-2</v>
      </c>
      <c r="K169" s="166">
        <f t="shared" si="11"/>
        <v>106.42153671120411</v>
      </c>
      <c r="L169" s="168"/>
      <c r="M169" s="7"/>
      <c r="N169" s="7"/>
      <c r="O169" s="7"/>
      <c r="P169" s="7"/>
      <c r="Q169" s="7"/>
      <c r="R169" s="90"/>
    </row>
    <row r="170" spans="1:18" ht="14.4" customHeight="1">
      <c r="A170" s="49"/>
      <c r="B170" s="148">
        <v>42186</v>
      </c>
      <c r="C170" s="149">
        <v>7.6355363897706701</v>
      </c>
      <c r="D170" s="150">
        <v>0</v>
      </c>
      <c r="E170" s="151">
        <f t="shared" si="8"/>
        <v>7.6355363897706701</v>
      </c>
      <c r="F170" s="149">
        <f t="shared" si="9"/>
        <v>0.27530327707844493</v>
      </c>
      <c r="G170" s="151">
        <f t="shared" si="10"/>
        <v>0.27530327707844493</v>
      </c>
      <c r="H170" s="152">
        <v>27.734999999999999</v>
      </c>
      <c r="I170" s="153">
        <v>3.7943885692989197E-2</v>
      </c>
      <c r="J170" s="154">
        <v>3.3216726661249599E-2</v>
      </c>
      <c r="K170" s="166">
        <f t="shared" si="11"/>
        <v>104.17479390267454</v>
      </c>
      <c r="L170" s="168"/>
      <c r="M170" s="7"/>
      <c r="N170" s="7"/>
      <c r="O170" s="7"/>
      <c r="P170" s="7"/>
      <c r="Q170" s="7"/>
      <c r="R170" s="90"/>
    </row>
    <row r="171" spans="1:18" ht="14.4" customHeight="1">
      <c r="A171" s="49"/>
      <c r="B171" s="148">
        <v>42217</v>
      </c>
      <c r="C171" s="149">
        <v>7.5358267734018796</v>
      </c>
      <c r="D171" s="150">
        <v>0</v>
      </c>
      <c r="E171" s="151">
        <f t="shared" si="8"/>
        <v>7.5358267734018796</v>
      </c>
      <c r="F171" s="149">
        <f t="shared" si="9"/>
        <v>0.2643593199116635</v>
      </c>
      <c r="G171" s="151">
        <f t="shared" si="10"/>
        <v>0.2643593199116635</v>
      </c>
      <c r="H171" s="152">
        <v>28.506</v>
      </c>
      <c r="I171" s="153">
        <v>3.7407004280133903E-2</v>
      </c>
      <c r="J171" s="154">
        <v>3.3184814330953598E-2</v>
      </c>
      <c r="K171" s="166">
        <f t="shared" si="11"/>
        <v>103.64284158074612</v>
      </c>
      <c r="L171" s="168"/>
      <c r="M171" s="7"/>
      <c r="N171" s="7"/>
      <c r="O171" s="7"/>
      <c r="P171" s="7"/>
      <c r="Q171" s="7"/>
      <c r="R171" s="90"/>
    </row>
    <row r="172" spans="1:18" ht="14.4" customHeight="1">
      <c r="A172" s="49"/>
      <c r="B172" s="148">
        <v>42248</v>
      </c>
      <c r="C172" s="149">
        <v>7.5674003294411403</v>
      </c>
      <c r="D172" s="150">
        <v>0</v>
      </c>
      <c r="E172" s="151">
        <f t="shared" si="8"/>
        <v>7.5674003294411403</v>
      </c>
      <c r="F172" s="149">
        <f t="shared" si="9"/>
        <v>0.26239252182528228</v>
      </c>
      <c r="G172" s="151">
        <f t="shared" si="10"/>
        <v>0.26239252182528228</v>
      </c>
      <c r="H172" s="152">
        <v>28.84</v>
      </c>
      <c r="I172" s="153">
        <v>3.6135486648229499E-2</v>
      </c>
      <c r="J172" s="154">
        <v>3.3996697621540603E-2</v>
      </c>
      <c r="K172" s="166">
        <f t="shared" si="11"/>
        <v>104.75918706377382</v>
      </c>
      <c r="L172" s="168"/>
      <c r="M172" s="7"/>
      <c r="N172" s="7"/>
      <c r="O172" s="7"/>
      <c r="P172" s="7"/>
      <c r="Q172" s="7"/>
      <c r="R172" s="90"/>
    </row>
    <row r="173" spans="1:18" ht="14.4" customHeight="1">
      <c r="A173" s="49"/>
      <c r="B173" s="148">
        <v>42278</v>
      </c>
      <c r="C173" s="149">
        <v>7.5657138589907396</v>
      </c>
      <c r="D173" s="150">
        <v>0</v>
      </c>
      <c r="E173" s="151">
        <f t="shared" si="8"/>
        <v>7.5657138589907396</v>
      </c>
      <c r="F173" s="149">
        <f t="shared" si="9"/>
        <v>0.25787224714512219</v>
      </c>
      <c r="G173" s="151">
        <f t="shared" si="10"/>
        <v>0.25787224714512219</v>
      </c>
      <c r="H173" s="152">
        <v>29.338999999999999</v>
      </c>
      <c r="I173" s="153">
        <v>3.5904060675028202E-2</v>
      </c>
      <c r="J173" s="154">
        <v>3.40592490810969E-2</v>
      </c>
      <c r="K173" s="166">
        <f t="shared" si="11"/>
        <v>104.98864743192043</v>
      </c>
      <c r="L173" s="168"/>
      <c r="M173" s="7"/>
      <c r="N173" s="7"/>
      <c r="O173" s="7"/>
      <c r="P173" s="7"/>
      <c r="Q173" s="7"/>
      <c r="R173" s="90"/>
    </row>
    <row r="174" spans="1:18" ht="14.4" customHeight="1">
      <c r="A174" s="49"/>
      <c r="B174" s="148">
        <v>42309</v>
      </c>
      <c r="C174" s="149">
        <v>7.4798361691682196</v>
      </c>
      <c r="D174" s="150">
        <v>0</v>
      </c>
      <c r="E174" s="151">
        <f t="shared" si="8"/>
        <v>7.4798361691682196</v>
      </c>
      <c r="F174" s="149">
        <f t="shared" si="9"/>
        <v>0.25329617911169044</v>
      </c>
      <c r="G174" s="151">
        <f t="shared" si="10"/>
        <v>0.25329617911169044</v>
      </c>
      <c r="H174" s="152">
        <v>29.53</v>
      </c>
      <c r="I174" s="153">
        <v>3.6136426427680501E-2</v>
      </c>
      <c r="J174" s="154">
        <v>3.3199123328767802E-2</v>
      </c>
      <c r="K174" s="166">
        <f t="shared" si="11"/>
        <v>104.73670272722892</v>
      </c>
      <c r="L174" s="168"/>
      <c r="M174" s="7"/>
      <c r="N174" s="7"/>
      <c r="O174" s="7"/>
      <c r="P174" s="7"/>
      <c r="Q174" s="7"/>
      <c r="R174" s="90"/>
    </row>
    <row r="175" spans="1:18" ht="14.4" customHeight="1">
      <c r="A175" s="49"/>
      <c r="B175" s="156">
        <v>42339</v>
      </c>
      <c r="C175" s="171">
        <v>7.4986725603813502</v>
      </c>
      <c r="D175" s="172">
        <v>0</v>
      </c>
      <c r="E175" s="173">
        <f t="shared" si="8"/>
        <v>7.4986725603813502</v>
      </c>
      <c r="F175" s="157">
        <f t="shared" si="9"/>
        <v>0.25180230222905808</v>
      </c>
      <c r="G175" s="159">
        <f t="shared" si="10"/>
        <v>0.25180230222905808</v>
      </c>
      <c r="H175" s="160">
        <v>29.78</v>
      </c>
      <c r="I175" s="161">
        <v>3.6214304164559098E-2</v>
      </c>
      <c r="J175" s="162">
        <v>3.2364833243887801E-2</v>
      </c>
      <c r="K175" s="167">
        <f t="shared" si="11"/>
        <v>106.1585913274079</v>
      </c>
      <c r="L175" s="169"/>
      <c r="M175" s="7"/>
      <c r="N175" s="7"/>
      <c r="O175" s="7"/>
      <c r="P175" s="7"/>
      <c r="Q175" s="7"/>
      <c r="R175" s="90"/>
    </row>
    <row r="176" spans="1:18" ht="14.4" customHeight="1">
      <c r="A176" s="49"/>
      <c r="B176" s="140">
        <v>42370</v>
      </c>
      <c r="C176" s="141">
        <v>7.33</v>
      </c>
      <c r="D176" s="142">
        <v>0</v>
      </c>
      <c r="E176" s="143">
        <f t="shared" si="8"/>
        <v>7.33</v>
      </c>
      <c r="F176" s="141">
        <f t="shared" si="9"/>
        <v>0.23784801090271918</v>
      </c>
      <c r="G176" s="143">
        <f t="shared" si="10"/>
        <v>0.23784801090271918</v>
      </c>
      <c r="H176" s="144">
        <v>30.818000000000001</v>
      </c>
      <c r="I176" s="145">
        <v>3.68789712204955E-2</v>
      </c>
      <c r="J176" s="146">
        <v>3.2158253909098898E-2</v>
      </c>
      <c r="K176" s="165">
        <f t="shared" si="11"/>
        <v>103.0821392518321</v>
      </c>
      <c r="L176" s="170"/>
      <c r="M176" s="7"/>
      <c r="N176" s="7"/>
      <c r="O176" s="7"/>
      <c r="P176" s="7"/>
      <c r="Q176" s="7"/>
      <c r="R176" s="90"/>
    </row>
    <row r="177" spans="1:18" ht="14.4" customHeight="1">
      <c r="A177" s="49"/>
      <c r="B177" s="148">
        <v>42401</v>
      </c>
      <c r="C177" s="149">
        <v>7.49</v>
      </c>
      <c r="D177" s="150">
        <v>0</v>
      </c>
      <c r="E177" s="151">
        <f t="shared" si="8"/>
        <v>7.49</v>
      </c>
      <c r="F177" s="149">
        <f t="shared" si="9"/>
        <v>0.23589065255731925</v>
      </c>
      <c r="G177" s="151">
        <f t="shared" si="10"/>
        <v>0.23589065255731925</v>
      </c>
      <c r="H177" s="152">
        <v>31.751999999999999</v>
      </c>
      <c r="I177" s="153">
        <v>3.7586079667827198E-2</v>
      </c>
      <c r="J177" s="154">
        <v>3.2640208444033897E-2</v>
      </c>
      <c r="K177" s="166">
        <f t="shared" si="11"/>
        <v>103.54875440107409</v>
      </c>
      <c r="L177" s="168"/>
      <c r="M177" s="7"/>
      <c r="N177" s="7"/>
      <c r="O177" s="7"/>
      <c r="P177" s="7"/>
      <c r="Q177" s="7"/>
      <c r="R177" s="90"/>
    </row>
    <row r="178" spans="1:18" ht="14.4" customHeight="1">
      <c r="A178" s="49"/>
      <c r="B178" s="148">
        <v>42430</v>
      </c>
      <c r="C178" s="149">
        <v>7.86</v>
      </c>
      <c r="D178" s="150">
        <v>0</v>
      </c>
      <c r="E178" s="151">
        <f t="shared" si="8"/>
        <v>7.86</v>
      </c>
      <c r="F178" s="149">
        <f t="shared" si="9"/>
        <v>0.2443801884152598</v>
      </c>
      <c r="G178" s="151">
        <f t="shared" si="10"/>
        <v>0.2443801884152598</v>
      </c>
      <c r="H178" s="152">
        <v>32.162999999999997</v>
      </c>
      <c r="I178" s="153">
        <v>3.92981184334142E-2</v>
      </c>
      <c r="J178" s="154">
        <v>3.4235599122441798E-2</v>
      </c>
      <c r="K178" s="166">
        <f t="shared" si="11"/>
        <v>103.77644725181359</v>
      </c>
      <c r="L178" s="168"/>
      <c r="M178" s="7"/>
      <c r="N178" s="7"/>
      <c r="O178" s="7"/>
      <c r="P178" s="7"/>
      <c r="Q178" s="7"/>
      <c r="R178" s="90"/>
    </row>
    <row r="179" spans="1:18" ht="14.4" customHeight="1">
      <c r="A179" s="49"/>
      <c r="B179" s="148">
        <v>42461</v>
      </c>
      <c r="C179" s="149">
        <v>7.97</v>
      </c>
      <c r="D179" s="150">
        <v>0</v>
      </c>
      <c r="E179" s="151">
        <f t="shared" si="8"/>
        <v>7.97</v>
      </c>
      <c r="F179" s="149">
        <f t="shared" si="9"/>
        <v>0.25289544661272406</v>
      </c>
      <c r="G179" s="151">
        <f t="shared" si="10"/>
        <v>0.25289544661272406</v>
      </c>
      <c r="H179" s="152">
        <v>31.515000000000001</v>
      </c>
      <c r="I179" s="153">
        <v>4.0670079047558899E-2</v>
      </c>
      <c r="J179" s="154">
        <v>3.3929730653260402E-2</v>
      </c>
      <c r="K179" s="152">
        <f t="shared" si="11"/>
        <v>103.72498413471047</v>
      </c>
      <c r="L179" s="168"/>
      <c r="M179" s="7"/>
      <c r="N179" s="7"/>
      <c r="O179" s="7"/>
      <c r="P179" s="7"/>
      <c r="Q179" s="7"/>
      <c r="R179" s="90"/>
    </row>
    <row r="180" spans="1:18" ht="14.4" customHeight="1">
      <c r="A180" s="49"/>
      <c r="B180" s="148">
        <v>42491</v>
      </c>
      <c r="C180" s="149">
        <v>8.7200000000000006</v>
      </c>
      <c r="D180" s="150">
        <v>0</v>
      </c>
      <c r="E180" s="151">
        <f t="shared" si="8"/>
        <v>8.7200000000000006</v>
      </c>
      <c r="F180" s="149">
        <f t="shared" si="9"/>
        <v>0.27761859280483925</v>
      </c>
      <c r="G180" s="151">
        <f t="shared" si="10"/>
        <v>0.27761859280483925</v>
      </c>
      <c r="H180" s="152">
        <v>31.41</v>
      </c>
      <c r="I180" s="153">
        <v>3.99061468938013E-2</v>
      </c>
      <c r="J180" s="154">
        <v>3.42315637730711E-2</v>
      </c>
      <c r="K180" s="152">
        <f t="shared" si="11"/>
        <v>114.19315947745704</v>
      </c>
      <c r="L180" s="174" t="s">
        <v>71</v>
      </c>
      <c r="M180" s="7"/>
      <c r="N180" s="7"/>
      <c r="O180" s="7"/>
      <c r="P180" s="7"/>
      <c r="Q180" s="7"/>
      <c r="R180" s="90"/>
    </row>
    <row r="181" spans="1:18" ht="14.4" customHeight="1">
      <c r="A181" s="49"/>
      <c r="B181" s="148">
        <v>42522</v>
      </c>
      <c r="C181" s="149">
        <v>8.66</v>
      </c>
      <c r="D181" s="150">
        <v>0</v>
      </c>
      <c r="E181" s="151">
        <f t="shared" si="8"/>
        <v>8.66</v>
      </c>
      <c r="F181" s="149">
        <f t="shared" si="9"/>
        <v>0.28136980960426278</v>
      </c>
      <c r="G181" s="151">
        <f t="shared" si="10"/>
        <v>0.28136980960426278</v>
      </c>
      <c r="H181" s="152">
        <v>30.777999999999999</v>
      </c>
      <c r="I181" s="153">
        <v>3.9386025519797398E-2</v>
      </c>
      <c r="J181" s="154">
        <v>3.3909731198972302E-2</v>
      </c>
      <c r="K181" s="152">
        <f t="shared" si="11"/>
        <v>114.71014648980611</v>
      </c>
      <c r="L181" s="174" t="s">
        <v>72</v>
      </c>
      <c r="M181" s="7"/>
      <c r="N181" s="7"/>
      <c r="O181" s="7"/>
      <c r="P181" s="7"/>
      <c r="Q181" s="7"/>
      <c r="R181" s="90"/>
    </row>
    <row r="182" spans="1:18" ht="14.4" customHeight="1">
      <c r="A182" s="49"/>
      <c r="B182" s="148">
        <v>42552</v>
      </c>
      <c r="C182" s="149">
        <v>8.7899999999999991</v>
      </c>
      <c r="D182" s="150">
        <v>0</v>
      </c>
      <c r="E182" s="151">
        <f t="shared" si="8"/>
        <v>8.7899999999999991</v>
      </c>
      <c r="F182" s="149">
        <f t="shared" si="9"/>
        <v>0.29263907846988713</v>
      </c>
      <c r="G182" s="151">
        <f t="shared" si="10"/>
        <v>0.29263907846988713</v>
      </c>
      <c r="H182" s="152">
        <v>30.036999999999999</v>
      </c>
      <c r="I182" s="153">
        <v>3.8910933826431397E-2</v>
      </c>
      <c r="J182" s="154">
        <v>3.3524259056451997E-2</v>
      </c>
      <c r="K182" s="152">
        <f t="shared" si="11"/>
        <v>117.81539115002303</v>
      </c>
      <c r="L182" s="174" t="s">
        <v>73</v>
      </c>
      <c r="M182" s="7"/>
      <c r="N182" s="7"/>
      <c r="O182" s="7"/>
      <c r="P182" s="7"/>
      <c r="Q182" s="7"/>
      <c r="R182" s="90"/>
    </row>
    <row r="183" spans="1:18" ht="14.4" customHeight="1">
      <c r="A183" s="49"/>
      <c r="B183" s="148">
        <v>42583</v>
      </c>
      <c r="C183" s="149">
        <v>8.75</v>
      </c>
      <c r="D183" s="150">
        <v>0</v>
      </c>
      <c r="E183" s="151">
        <f t="shared" si="8"/>
        <v>8.75</v>
      </c>
      <c r="F183" s="149">
        <f t="shared" si="9"/>
        <v>0.3028624831262331</v>
      </c>
      <c r="G183" s="151">
        <f t="shared" si="10"/>
        <v>0.3028624831262331</v>
      </c>
      <c r="H183" s="152">
        <v>28.890999999999998</v>
      </c>
      <c r="I183" s="153">
        <v>3.6811999999999998E-2</v>
      </c>
      <c r="J183" s="154">
        <v>3.3243000000000002E-2</v>
      </c>
      <c r="K183" s="152">
        <f t="shared" si="11"/>
        <v>121.26394448744502</v>
      </c>
      <c r="L183" s="174" t="s">
        <v>74</v>
      </c>
      <c r="M183" s="7"/>
      <c r="N183" s="7"/>
      <c r="O183" s="7"/>
      <c r="P183" s="7"/>
      <c r="Q183" s="7"/>
      <c r="R183" s="90"/>
    </row>
    <row r="184" spans="1:18" ht="14.4" customHeight="1">
      <c r="A184" s="49"/>
      <c r="B184" s="175" t="s">
        <v>75</v>
      </c>
      <c r="C184" s="149">
        <v>8.75</v>
      </c>
      <c r="D184" s="150">
        <v>0</v>
      </c>
      <c r="E184" s="151">
        <f t="shared" si="8"/>
        <v>8.75</v>
      </c>
      <c r="F184" s="149">
        <f t="shared" si="9"/>
        <v>0.30403057678943712</v>
      </c>
      <c r="G184" s="151">
        <f t="shared" si="10"/>
        <v>0.30403057678943712</v>
      </c>
      <c r="H184" s="152">
        <v>28.78</v>
      </c>
      <c r="I184" s="153">
        <v>3.7234428511228199E-2</v>
      </c>
      <c r="J184" s="154">
        <v>3.3985497201385599E-2</v>
      </c>
      <c r="K184" s="152">
        <f t="shared" si="11"/>
        <v>119.2804618379907</v>
      </c>
      <c r="L184" s="168"/>
      <c r="M184" s="7"/>
      <c r="N184" s="7"/>
      <c r="O184" s="7"/>
      <c r="P184" s="7"/>
      <c r="Q184" s="7"/>
      <c r="R184" s="90"/>
    </row>
    <row r="185" spans="1:18" ht="14.4" customHeight="1">
      <c r="A185" s="49"/>
      <c r="B185" s="148">
        <v>42644</v>
      </c>
      <c r="C185" s="149">
        <v>8.9</v>
      </c>
      <c r="D185" s="150">
        <v>0</v>
      </c>
      <c r="E185" s="151">
        <f t="shared" si="8"/>
        <v>8.9</v>
      </c>
      <c r="F185" s="149">
        <f t="shared" si="9"/>
        <v>0.31615217931867429</v>
      </c>
      <c r="G185" s="151">
        <f t="shared" si="10"/>
        <v>0.31615217931867429</v>
      </c>
      <c r="H185" s="152">
        <v>28.151</v>
      </c>
      <c r="I185" s="153">
        <v>3.6168997494555898E-2</v>
      </c>
      <c r="J185" s="154">
        <v>3.3333538231071602E-2</v>
      </c>
      <c r="K185" s="152">
        <f t="shared" si="11"/>
        <v>124.32318632430894</v>
      </c>
      <c r="L185" s="168"/>
      <c r="M185" s="7"/>
      <c r="N185" s="7"/>
      <c r="O185" s="7"/>
      <c r="P185" s="7"/>
      <c r="Q185" s="7"/>
      <c r="R185" s="90"/>
    </row>
    <row r="186" spans="1:18" ht="14.4" customHeight="1">
      <c r="A186" s="49"/>
      <c r="B186" s="148">
        <v>42675</v>
      </c>
      <c r="C186" s="149">
        <v>8.89</v>
      </c>
      <c r="D186" s="150">
        <v>0</v>
      </c>
      <c r="E186" s="151">
        <f t="shared" si="8"/>
        <v>8.89</v>
      </c>
      <c r="F186" s="149">
        <f t="shared" si="9"/>
        <v>0.30941110956424894</v>
      </c>
      <c r="G186" s="151">
        <f t="shared" si="10"/>
        <v>0.30941110956424894</v>
      </c>
      <c r="H186" s="152">
        <v>28.731999999999999</v>
      </c>
      <c r="I186" s="153">
        <v>3.56652635379653E-2</v>
      </c>
      <c r="J186" s="154">
        <v>3.2591569349782003E-2</v>
      </c>
      <c r="K186" s="152">
        <f t="shared" si="11"/>
        <v>126.44987462807406</v>
      </c>
      <c r="L186" s="168"/>
      <c r="M186" s="7"/>
      <c r="N186" s="7"/>
      <c r="O186" s="7"/>
      <c r="P186" s="7"/>
      <c r="Q186" s="7"/>
      <c r="R186" s="90"/>
    </row>
    <row r="187" spans="1:18" ht="14.4" customHeight="1">
      <c r="A187" s="49"/>
      <c r="B187" s="156">
        <v>42705</v>
      </c>
      <c r="C187" s="171">
        <v>9.0299999999999994</v>
      </c>
      <c r="D187" s="172">
        <v>0</v>
      </c>
      <c r="E187" s="173">
        <f t="shared" si="8"/>
        <v>9.0299999999999994</v>
      </c>
      <c r="F187" s="157">
        <f t="shared" si="9"/>
        <v>0.31310679611650483</v>
      </c>
      <c r="G187" s="159">
        <f t="shared" si="10"/>
        <v>0.31310679611650483</v>
      </c>
      <c r="H187" s="160">
        <v>28.84</v>
      </c>
      <c r="I187" s="161">
        <v>3.6428317054760198E-2</v>
      </c>
      <c r="J187" s="162">
        <v>3.2611495727555902E-2</v>
      </c>
      <c r="K187" s="81">
        <f t="shared" si="11"/>
        <v>126.98456061728655</v>
      </c>
      <c r="L187" s="169"/>
      <c r="M187" s="7"/>
      <c r="N187" s="7"/>
      <c r="O187" s="7"/>
      <c r="P187" s="7"/>
      <c r="Q187" s="7"/>
      <c r="R187" s="90"/>
    </row>
    <row r="188" spans="1:18" ht="14.4" customHeight="1">
      <c r="A188" s="49"/>
      <c r="B188" s="140">
        <v>42736</v>
      </c>
      <c r="C188" s="141">
        <v>9.0299999999999994</v>
      </c>
      <c r="D188" s="142">
        <v>0</v>
      </c>
      <c r="E188" s="143">
        <f t="shared" si="8"/>
        <v>9.0299999999999994</v>
      </c>
      <c r="F188" s="141">
        <f t="shared" si="9"/>
        <v>0.31561287616650935</v>
      </c>
      <c r="G188" s="143">
        <f t="shared" si="10"/>
        <v>0.31561287616650935</v>
      </c>
      <c r="H188" s="144">
        <v>28.611000000000001</v>
      </c>
      <c r="I188" s="145">
        <v>3.7103205319530798E-2</v>
      </c>
      <c r="J188" s="146">
        <v>3.2744991207778899E-2</v>
      </c>
      <c r="K188" s="144">
        <f t="shared" si="11"/>
        <v>125.51491272697871</v>
      </c>
      <c r="L188" s="170"/>
      <c r="M188" s="7"/>
      <c r="N188" s="7"/>
      <c r="O188" s="7"/>
      <c r="P188" s="7"/>
      <c r="Q188" s="7"/>
      <c r="R188" s="90"/>
    </row>
    <row r="189" spans="1:18" ht="14.4" customHeight="1">
      <c r="A189" s="49"/>
      <c r="B189" s="148">
        <v>42767</v>
      </c>
      <c r="C189" s="176">
        <v>9.5500000000000007</v>
      </c>
      <c r="D189" s="177">
        <v>0</v>
      </c>
      <c r="E189" s="178">
        <f t="shared" si="8"/>
        <v>9.5500000000000007</v>
      </c>
      <c r="F189" s="149">
        <f t="shared" si="9"/>
        <v>0.33553509943082005</v>
      </c>
      <c r="G189" s="151">
        <f t="shared" si="10"/>
        <v>0.33553509943082005</v>
      </c>
      <c r="H189" s="152">
        <v>28.462</v>
      </c>
      <c r="I189" s="153">
        <v>3.83020441934716E-2</v>
      </c>
      <c r="J189" s="154">
        <v>3.29952698234924E-2</v>
      </c>
      <c r="K189" s="80">
        <f t="shared" si="11"/>
        <v>130.04479604923259</v>
      </c>
      <c r="L189" s="168"/>
      <c r="M189" s="7"/>
      <c r="N189" s="7"/>
      <c r="O189" s="7"/>
      <c r="P189" s="7"/>
      <c r="Q189" s="7"/>
      <c r="R189" s="90"/>
    </row>
    <row r="190" spans="1:18" ht="14.4" customHeight="1">
      <c r="A190" s="49"/>
      <c r="B190" s="148">
        <v>42795</v>
      </c>
      <c r="C190" s="176">
        <v>9.8699999999999992</v>
      </c>
      <c r="D190" s="177">
        <v>0</v>
      </c>
      <c r="E190" s="178">
        <f t="shared" si="8"/>
        <v>9.8699999999999992</v>
      </c>
      <c r="F190" s="149">
        <f t="shared" si="9"/>
        <v>0.34733952702702697</v>
      </c>
      <c r="G190" s="151">
        <f t="shared" si="10"/>
        <v>0.34733952702702697</v>
      </c>
      <c r="H190" s="152">
        <v>28.416</v>
      </c>
      <c r="I190" s="153">
        <v>3.8643245509654603E-2</v>
      </c>
      <c r="J190" s="154">
        <v>3.4068480371927203E-2</v>
      </c>
      <c r="K190" s="80">
        <f t="shared" si="11"/>
        <v>131.7878809182819</v>
      </c>
      <c r="L190" s="168"/>
      <c r="M190" s="7"/>
      <c r="N190" s="7"/>
      <c r="O190" s="7"/>
      <c r="P190" s="7"/>
      <c r="Q190" s="7"/>
      <c r="R190" s="90"/>
    </row>
    <row r="191" spans="1:18" ht="14.25" customHeight="1">
      <c r="A191" s="49"/>
      <c r="B191" s="148">
        <v>42826</v>
      </c>
      <c r="C191" s="176">
        <v>10.07</v>
      </c>
      <c r="D191" s="177">
        <v>0</v>
      </c>
      <c r="E191" s="178">
        <f t="shared" si="8"/>
        <v>10.07</v>
      </c>
      <c r="F191" s="149">
        <f t="shared" si="9"/>
        <v>0.35454001337886848</v>
      </c>
      <c r="G191" s="151">
        <f t="shared" si="10"/>
        <v>0.35454001337886848</v>
      </c>
      <c r="H191" s="152">
        <v>28.402999999999999</v>
      </c>
      <c r="I191" s="153">
        <v>3.9275763276752002E-2</v>
      </c>
      <c r="J191" s="154">
        <v>3.44290938884955E-2</v>
      </c>
      <c r="K191" s="80">
        <f t="shared" si="11"/>
        <v>132.64660437787288</v>
      </c>
      <c r="L191" s="168"/>
      <c r="M191" s="7"/>
      <c r="N191" s="7"/>
      <c r="O191" s="7"/>
      <c r="P191" s="7"/>
      <c r="Q191" s="7"/>
      <c r="R191" s="90"/>
    </row>
    <row r="192" spans="1:18" ht="14.25" customHeight="1">
      <c r="A192" s="49"/>
      <c r="B192" s="148">
        <v>42856</v>
      </c>
      <c r="C192" s="176">
        <v>10.23</v>
      </c>
      <c r="D192" s="177">
        <v>0</v>
      </c>
      <c r="E192" s="178">
        <f t="shared" si="8"/>
        <v>10.23</v>
      </c>
      <c r="F192" s="149">
        <f t="shared" si="9"/>
        <v>0.36365575343926632</v>
      </c>
      <c r="G192" s="151">
        <f t="shared" si="10"/>
        <v>0.36365575343926632</v>
      </c>
      <c r="H192" s="152">
        <v>28.131</v>
      </c>
      <c r="I192" s="153">
        <v>3.9581999999999999E-2</v>
      </c>
      <c r="J192" s="154">
        <v>3.4439999999999998E-2</v>
      </c>
      <c r="K192" s="80">
        <f t="shared" si="11"/>
        <v>134.17685059781491</v>
      </c>
      <c r="L192" s="179"/>
      <c r="M192" s="7"/>
      <c r="N192" s="7"/>
      <c r="O192" s="7"/>
      <c r="P192" s="7"/>
      <c r="Q192" s="7"/>
      <c r="R192" s="90"/>
    </row>
    <row r="193" spans="1:18" ht="14.25" customHeight="1">
      <c r="A193" s="49"/>
      <c r="B193" s="148">
        <v>42887</v>
      </c>
      <c r="C193" s="176">
        <v>10.130000000000001</v>
      </c>
      <c r="D193" s="177">
        <v>0</v>
      </c>
      <c r="E193" s="178">
        <f t="shared" si="8"/>
        <v>10.130000000000001</v>
      </c>
      <c r="F193" s="149">
        <f t="shared" si="9"/>
        <v>0.35694150810429887</v>
      </c>
      <c r="G193" s="151">
        <f t="shared" si="10"/>
        <v>0.35694150810429887</v>
      </c>
      <c r="H193" s="152">
        <v>28.38</v>
      </c>
      <c r="I193" s="153">
        <v>3.8579279580492502E-2</v>
      </c>
      <c r="J193" s="154">
        <v>3.4555351969310602E-2</v>
      </c>
      <c r="K193" s="80">
        <f t="shared" si="11"/>
        <v>134.47735016772856</v>
      </c>
      <c r="L193" s="179"/>
      <c r="M193" s="7"/>
      <c r="N193" s="7"/>
      <c r="O193" s="7"/>
      <c r="P193" s="7"/>
      <c r="Q193" s="7"/>
      <c r="R193" s="90"/>
    </row>
    <row r="194" spans="1:18" ht="14.25" customHeight="1">
      <c r="A194" s="49"/>
      <c r="B194" s="148">
        <v>42917</v>
      </c>
      <c r="C194" s="176">
        <v>9.91</v>
      </c>
      <c r="D194" s="177">
        <v>0</v>
      </c>
      <c r="E194" s="178">
        <f t="shared" si="8"/>
        <v>9.91</v>
      </c>
      <c r="F194" s="149">
        <f t="shared" si="9"/>
        <v>0.34600747180615204</v>
      </c>
      <c r="G194" s="151">
        <f t="shared" si="10"/>
        <v>0.34600747180615204</v>
      </c>
      <c r="H194" s="152">
        <v>28.640999999999998</v>
      </c>
      <c r="I194" s="153">
        <v>3.8020166593852198E-2</v>
      </c>
      <c r="J194" s="154">
        <v>3.38012924286622E-2</v>
      </c>
      <c r="K194" s="80">
        <f t="shared" si="11"/>
        <v>133.96218002595705</v>
      </c>
      <c r="L194" s="179"/>
      <c r="M194" s="7"/>
      <c r="N194" s="7"/>
      <c r="O194" s="7"/>
      <c r="P194" s="7"/>
      <c r="Q194" s="7"/>
      <c r="R194" s="90"/>
    </row>
    <row r="195" spans="1:18" ht="14.25" customHeight="1">
      <c r="A195" s="49"/>
      <c r="B195" s="148">
        <v>42948</v>
      </c>
      <c r="C195" s="176">
        <v>9.9633363527126395</v>
      </c>
      <c r="D195" s="177">
        <v>0.133336352712638</v>
      </c>
      <c r="E195" s="178">
        <f t="shared" si="8"/>
        <v>9.8300000000000018</v>
      </c>
      <c r="F195" s="149">
        <f t="shared" si="9"/>
        <v>0.34746935735204854</v>
      </c>
      <c r="G195" s="151">
        <f t="shared" si="10"/>
        <v>0.34281927878914703</v>
      </c>
      <c r="H195" s="152">
        <v>28.673999999999999</v>
      </c>
      <c r="I195" s="153">
        <v>3.7095999999999997E-2</v>
      </c>
      <c r="J195" s="154">
        <v>3.3940999999999999E-2</v>
      </c>
      <c r="K195" s="80">
        <f t="shared" si="11"/>
        <v>136.17047580855433</v>
      </c>
      <c r="L195" s="174" t="s">
        <v>76</v>
      </c>
      <c r="M195" s="7"/>
      <c r="N195" s="7"/>
      <c r="O195" s="7"/>
      <c r="P195" s="7"/>
      <c r="Q195" s="7"/>
      <c r="R195" s="90"/>
    </row>
    <row r="196" spans="1:18" ht="14.4" customHeight="1">
      <c r="A196" s="49"/>
      <c r="B196" s="148">
        <v>42979</v>
      </c>
      <c r="C196" s="176">
        <v>9.7931484652167402</v>
      </c>
      <c r="D196" s="177">
        <v>0.13314846521673701</v>
      </c>
      <c r="E196" s="178">
        <f t="shared" si="8"/>
        <v>9.6600000000000037</v>
      </c>
      <c r="F196" s="149">
        <f t="shared" si="9"/>
        <v>0.33873433866752239</v>
      </c>
      <c r="G196" s="151">
        <f t="shared" si="10"/>
        <v>0.33412887828162302</v>
      </c>
      <c r="H196" s="152">
        <v>28.911000000000001</v>
      </c>
      <c r="I196" s="153">
        <v>3.7468909359508001E-2</v>
      </c>
      <c r="J196" s="154">
        <v>3.3155226351099298E-2</v>
      </c>
      <c r="K196" s="80">
        <f t="shared" si="11"/>
        <v>134.62693788195077</v>
      </c>
      <c r="L196" s="174" t="s">
        <v>76</v>
      </c>
      <c r="M196" s="7"/>
      <c r="N196" s="7"/>
      <c r="O196" s="7"/>
      <c r="P196" s="7"/>
      <c r="Q196" s="7"/>
      <c r="R196" s="90"/>
    </row>
    <row r="197" spans="1:18" ht="14.4" customHeight="1">
      <c r="A197" s="49"/>
      <c r="B197" s="148">
        <v>43009</v>
      </c>
      <c r="C197" s="176">
        <v>9.7448852883351709</v>
      </c>
      <c r="D197" s="177">
        <v>0.134885288335166</v>
      </c>
      <c r="E197" s="178">
        <f t="shared" si="8"/>
        <v>9.6100000000000048</v>
      </c>
      <c r="F197" s="149">
        <f t="shared" si="9"/>
        <v>0.33203466177161645</v>
      </c>
      <c r="G197" s="151">
        <f t="shared" si="10"/>
        <v>0.32743875430167996</v>
      </c>
      <c r="H197" s="152">
        <v>29.349</v>
      </c>
      <c r="I197" s="153">
        <v>3.68089009845406E-2</v>
      </c>
      <c r="J197" s="154">
        <v>3.3003554051710897E-2</v>
      </c>
      <c r="K197" s="80">
        <f t="shared" si="11"/>
        <v>135.52099941310576</v>
      </c>
      <c r="L197" s="174" t="s">
        <v>76</v>
      </c>
      <c r="M197" s="7"/>
      <c r="N197" s="7"/>
      <c r="O197" s="7"/>
      <c r="P197" s="7"/>
      <c r="Q197" s="7"/>
      <c r="R197" s="90"/>
    </row>
    <row r="198" spans="1:18" ht="14.4" customHeight="1">
      <c r="A198" s="49"/>
      <c r="B198" s="148">
        <v>43040</v>
      </c>
      <c r="C198" s="149">
        <v>9.6755984763061509</v>
      </c>
      <c r="D198" s="150">
        <v>0.13559847630614599</v>
      </c>
      <c r="E198" s="151">
        <f t="shared" si="8"/>
        <v>9.5400000000000045</v>
      </c>
      <c r="F198" s="149">
        <f t="shared" si="9"/>
        <v>0.33100470309965963</v>
      </c>
      <c r="G198" s="151">
        <f t="shared" si="10"/>
        <v>0.3263658444801753</v>
      </c>
      <c r="H198" s="152">
        <v>29.231000000000002</v>
      </c>
      <c r="I198" s="153">
        <v>3.5943881043044003E-2</v>
      </c>
      <c r="J198" s="154">
        <v>3.28799920472478E-2</v>
      </c>
      <c r="K198" s="80">
        <f t="shared" si="11"/>
        <v>136.49021054262124</v>
      </c>
      <c r="L198" s="174" t="s">
        <v>77</v>
      </c>
      <c r="M198" s="7"/>
      <c r="N198" s="7"/>
      <c r="O198" s="7"/>
      <c r="P198" s="7"/>
      <c r="Q198" s="7"/>
      <c r="R198" s="90"/>
    </row>
    <row r="199" spans="1:18" ht="14.4" customHeight="1">
      <c r="A199" s="49"/>
      <c r="B199" s="156">
        <v>43070</v>
      </c>
      <c r="C199" s="171">
        <v>9.5345921921821404</v>
      </c>
      <c r="D199" s="172">
        <v>0.134592192182136</v>
      </c>
      <c r="E199" s="173">
        <f t="shared" si="8"/>
        <v>9.4000000000000039</v>
      </c>
      <c r="F199" s="157">
        <f t="shared" si="9"/>
        <v>0.33014515900907687</v>
      </c>
      <c r="G199" s="159">
        <f t="shared" si="10"/>
        <v>0.32548476454293646</v>
      </c>
      <c r="H199" s="81">
        <v>28.88</v>
      </c>
      <c r="I199" s="161">
        <v>3.6488033689386003E-2</v>
      </c>
      <c r="J199" s="162">
        <v>3.2233687302166802E-2</v>
      </c>
      <c r="K199" s="81">
        <f t="shared" si="11"/>
        <v>134.70101577659344</v>
      </c>
      <c r="L199" s="180" t="s">
        <v>76</v>
      </c>
      <c r="M199" s="7"/>
      <c r="N199" s="7"/>
      <c r="O199" s="7"/>
      <c r="P199" s="7"/>
      <c r="Q199" s="7"/>
      <c r="R199" s="90"/>
    </row>
    <row r="200" spans="1:18" ht="14.4" customHeight="1">
      <c r="A200" s="49"/>
      <c r="B200" s="140">
        <v>43101</v>
      </c>
      <c r="C200" s="141">
        <v>9.5990399504681196</v>
      </c>
      <c r="D200" s="142">
        <v>0.13903995046812401</v>
      </c>
      <c r="E200" s="143">
        <f t="shared" ref="E200:E223" si="12">C200-D200</f>
        <v>9.4599999999999955</v>
      </c>
      <c r="F200" s="141">
        <f t="shared" ref="F200:F263" si="13">C200/H200</f>
        <v>0.33646605035115568</v>
      </c>
      <c r="G200" s="143">
        <f t="shared" ref="G200:G263" si="14">E200/H200</f>
        <v>0.33159241473588263</v>
      </c>
      <c r="H200" s="144">
        <v>28.529</v>
      </c>
      <c r="I200" s="145">
        <v>3.68441489045662E-2</v>
      </c>
      <c r="J200" s="146">
        <v>3.2611701353265903E-2</v>
      </c>
      <c r="K200" s="144">
        <f t="shared" ref="K200:K263" si="15">C200/1.03/(I200+J200)</f>
        <v>134.1781322666842</v>
      </c>
      <c r="L200" s="181" t="s">
        <v>77</v>
      </c>
      <c r="M200" s="7"/>
      <c r="N200" s="7"/>
      <c r="O200" s="7"/>
      <c r="P200" s="7"/>
      <c r="Q200" s="7"/>
      <c r="R200" s="90"/>
    </row>
    <row r="201" spans="1:18" ht="14.4" customHeight="1">
      <c r="A201" s="49"/>
      <c r="B201" s="148">
        <v>43132</v>
      </c>
      <c r="C201" s="149">
        <v>9.7789308365224592</v>
      </c>
      <c r="D201" s="150">
        <v>0.13893083652246399</v>
      </c>
      <c r="E201" s="151">
        <f t="shared" si="12"/>
        <v>9.6399999999999952</v>
      </c>
      <c r="F201" s="149">
        <f t="shared" si="13"/>
        <v>0.34287976285141863</v>
      </c>
      <c r="G201" s="151">
        <f t="shared" si="14"/>
        <v>0.33800841514726493</v>
      </c>
      <c r="H201" s="152">
        <v>28.52</v>
      </c>
      <c r="I201" s="153">
        <v>3.74633333333333E-2</v>
      </c>
      <c r="J201" s="154">
        <v>3.3042222222222202E-2</v>
      </c>
      <c r="K201" s="152">
        <f t="shared" si="15"/>
        <v>134.65758171061091</v>
      </c>
      <c r="L201" s="174" t="s">
        <v>77</v>
      </c>
      <c r="M201" s="7"/>
      <c r="N201" s="7"/>
      <c r="O201" s="7"/>
      <c r="P201" s="7"/>
      <c r="Q201" s="7"/>
      <c r="R201" s="90"/>
    </row>
    <row r="202" spans="1:18" ht="14.4" customHeight="1">
      <c r="A202" s="49"/>
      <c r="B202" s="148">
        <v>43160</v>
      </c>
      <c r="C202" s="149">
        <v>10.2386866234694</v>
      </c>
      <c r="D202" s="150">
        <v>0.138686623469436</v>
      </c>
      <c r="E202" s="151">
        <f t="shared" si="12"/>
        <v>10.099999999999964</v>
      </c>
      <c r="F202" s="149">
        <f t="shared" si="13"/>
        <v>0.36061871736649059</v>
      </c>
      <c r="G202" s="151">
        <f t="shared" si="14"/>
        <v>0.35573400958016216</v>
      </c>
      <c r="H202" s="152">
        <v>28.391999999999999</v>
      </c>
      <c r="I202" s="153">
        <v>3.9144947998788197E-2</v>
      </c>
      <c r="J202" s="154">
        <v>3.4576382294931901E-2</v>
      </c>
      <c r="K202" s="152">
        <f t="shared" si="15"/>
        <v>134.83848447071585</v>
      </c>
      <c r="L202" s="174" t="s">
        <v>77</v>
      </c>
      <c r="M202" s="7"/>
      <c r="N202" s="7"/>
      <c r="O202" s="7"/>
      <c r="P202" s="7"/>
      <c r="Q202" s="7"/>
      <c r="R202" s="90"/>
    </row>
    <row r="203" spans="1:18" ht="14.4" customHeight="1">
      <c r="A203" s="49"/>
      <c r="B203" s="148">
        <v>43191</v>
      </c>
      <c r="C203" s="149">
        <v>10.1220251910746</v>
      </c>
      <c r="D203" s="150">
        <v>0.14202519107455899</v>
      </c>
      <c r="E203" s="151">
        <f t="shared" si="12"/>
        <v>9.9800000000000413</v>
      </c>
      <c r="F203" s="149">
        <f t="shared" si="13"/>
        <v>0.35745400964348628</v>
      </c>
      <c r="G203" s="151">
        <f t="shared" si="14"/>
        <v>0.35243846452661093</v>
      </c>
      <c r="H203" s="152">
        <v>28.317</v>
      </c>
      <c r="I203" s="153">
        <v>3.8966457204758699E-2</v>
      </c>
      <c r="J203" s="154">
        <v>3.4065762359732403E-2</v>
      </c>
      <c r="K203" s="152">
        <f t="shared" si="15"/>
        <v>134.55991043371591</v>
      </c>
      <c r="L203" s="174" t="s">
        <v>77</v>
      </c>
      <c r="M203" s="7"/>
      <c r="N203" s="7"/>
      <c r="O203" s="7"/>
      <c r="P203" s="7"/>
      <c r="Q203" s="7"/>
      <c r="R203" s="90"/>
    </row>
    <row r="204" spans="1:18" ht="14.4" customHeight="1">
      <c r="A204" s="49"/>
      <c r="B204" s="148">
        <v>43221</v>
      </c>
      <c r="C204" s="149">
        <v>10.372350674408301</v>
      </c>
      <c r="D204" s="150">
        <v>0.142350674408318</v>
      </c>
      <c r="E204" s="151">
        <f t="shared" si="12"/>
        <v>10.229999999999983</v>
      </c>
      <c r="F204" s="149">
        <f t="shared" si="13"/>
        <v>0.33938716950488518</v>
      </c>
      <c r="G204" s="151">
        <f t="shared" si="14"/>
        <v>0.33472940252601213</v>
      </c>
      <c r="H204" s="152">
        <v>30.562000000000001</v>
      </c>
      <c r="I204" s="153">
        <v>3.8774207974498598E-2</v>
      </c>
      <c r="J204" s="154">
        <v>3.4436135383380098E-2</v>
      </c>
      <c r="K204" s="152">
        <f t="shared" si="15"/>
        <v>137.55219428469204</v>
      </c>
      <c r="L204" s="174" t="s">
        <v>77</v>
      </c>
      <c r="M204" s="7"/>
      <c r="N204" s="7"/>
      <c r="O204" s="7"/>
      <c r="P204" s="7"/>
      <c r="Q204" s="7"/>
      <c r="R204" s="90"/>
    </row>
    <row r="205" spans="1:18" ht="14.4" customHeight="1">
      <c r="A205" s="49"/>
      <c r="B205" s="148">
        <v>43252</v>
      </c>
      <c r="C205" s="149">
        <v>10.481409870916201</v>
      </c>
      <c r="D205" s="150">
        <v>0.14140987091624499</v>
      </c>
      <c r="E205" s="151">
        <f t="shared" si="12"/>
        <v>10.339999999999955</v>
      </c>
      <c r="F205" s="149">
        <f t="shared" si="13"/>
        <v>0.33416469651585157</v>
      </c>
      <c r="G205" s="151">
        <f t="shared" si="14"/>
        <v>0.32965631575591264</v>
      </c>
      <c r="H205" s="152">
        <v>31.366</v>
      </c>
      <c r="I205" s="153">
        <v>3.88741506115792E-2</v>
      </c>
      <c r="J205" s="154">
        <v>3.4687642988770001E-2</v>
      </c>
      <c r="K205" s="152">
        <f t="shared" si="15"/>
        <v>138.33439330685172</v>
      </c>
      <c r="L205" s="174" t="s">
        <v>77</v>
      </c>
      <c r="M205" s="7"/>
      <c r="N205" s="7"/>
      <c r="O205" s="7"/>
      <c r="P205" s="7"/>
      <c r="Q205" s="7"/>
      <c r="R205" s="90"/>
    </row>
    <row r="206" spans="1:18" ht="14.4" customHeight="1">
      <c r="A206" s="49"/>
      <c r="B206" s="148">
        <v>43282</v>
      </c>
      <c r="C206" s="149">
        <v>10.360291286642299</v>
      </c>
      <c r="D206" s="150">
        <v>0.14029128664232501</v>
      </c>
      <c r="E206" s="151">
        <f t="shared" si="12"/>
        <v>10.219999999999974</v>
      </c>
      <c r="F206" s="149">
        <f t="shared" si="13"/>
        <v>0.33259362075898236</v>
      </c>
      <c r="G206" s="151">
        <f t="shared" si="14"/>
        <v>0.32808988764044861</v>
      </c>
      <c r="H206" s="152">
        <v>31.15</v>
      </c>
      <c r="I206" s="153">
        <v>3.8881202960293501E-2</v>
      </c>
      <c r="J206" s="154">
        <v>3.41138207428648E-2</v>
      </c>
      <c r="K206" s="152">
        <f t="shared" si="15"/>
        <v>137.79754727738512</v>
      </c>
      <c r="L206" s="174" t="s">
        <v>77</v>
      </c>
      <c r="M206" s="7"/>
      <c r="N206" s="7"/>
      <c r="O206" s="7"/>
      <c r="P206" s="7"/>
      <c r="Q206" s="7"/>
      <c r="R206" s="90"/>
    </row>
    <row r="207" spans="1:18" ht="14.4" customHeight="1">
      <c r="A207" s="49"/>
      <c r="B207" s="148">
        <v>43313</v>
      </c>
      <c r="C207" s="149">
        <v>9.98</v>
      </c>
      <c r="D207" s="150">
        <v>0</v>
      </c>
      <c r="E207" s="151">
        <f t="shared" si="12"/>
        <v>9.98</v>
      </c>
      <c r="F207" s="149">
        <f t="shared" si="13"/>
        <v>0.31858520079167468</v>
      </c>
      <c r="G207" s="151">
        <f t="shared" si="14"/>
        <v>0.31858520079167468</v>
      </c>
      <c r="H207" s="152">
        <v>31.326000000000001</v>
      </c>
      <c r="I207" s="153">
        <v>3.8053759316991898E-2</v>
      </c>
      <c r="J207" s="154">
        <v>3.4231236364171698E-2</v>
      </c>
      <c r="K207" s="152">
        <f t="shared" si="15"/>
        <v>134.04331420433923</v>
      </c>
      <c r="L207" s="168"/>
      <c r="M207" s="7"/>
      <c r="N207" s="7"/>
      <c r="O207" s="7"/>
      <c r="P207" s="7"/>
      <c r="Q207" s="7"/>
      <c r="R207" s="90"/>
    </row>
    <row r="208" spans="1:18" ht="14.4" customHeight="1">
      <c r="A208" s="49"/>
      <c r="B208" s="148">
        <v>43344</v>
      </c>
      <c r="C208" s="149">
        <v>9.83</v>
      </c>
      <c r="D208" s="150">
        <v>0</v>
      </c>
      <c r="E208" s="151">
        <f t="shared" si="12"/>
        <v>9.83</v>
      </c>
      <c r="F208" s="149">
        <f t="shared" si="13"/>
        <v>0.29909328789630624</v>
      </c>
      <c r="G208" s="151">
        <f t="shared" si="14"/>
        <v>0.29909328789630624</v>
      </c>
      <c r="H208" s="152">
        <v>32.866</v>
      </c>
      <c r="I208" s="153">
        <v>3.7414030875804902E-2</v>
      </c>
      <c r="J208" s="154">
        <v>3.3860148714465098E-2</v>
      </c>
      <c r="K208" s="152">
        <f t="shared" si="15"/>
        <v>133.90107575073662</v>
      </c>
      <c r="L208" s="168"/>
      <c r="M208" s="7"/>
      <c r="N208" s="7"/>
      <c r="O208" s="7"/>
      <c r="P208" s="7"/>
      <c r="Q208" s="7"/>
      <c r="R208" s="90"/>
    </row>
    <row r="209" spans="1:18" ht="14.4" customHeight="1">
      <c r="A209" s="49"/>
      <c r="B209" s="148">
        <v>43374</v>
      </c>
      <c r="C209" s="149">
        <v>9.75</v>
      </c>
      <c r="D209" s="150">
        <v>0</v>
      </c>
      <c r="E209" s="151">
        <f t="shared" si="12"/>
        <v>9.75</v>
      </c>
      <c r="F209" s="149">
        <f t="shared" si="13"/>
        <v>0.29647874475460678</v>
      </c>
      <c r="G209" s="151">
        <f t="shared" si="14"/>
        <v>0.29647874475460678</v>
      </c>
      <c r="H209" s="152">
        <v>32.886000000000003</v>
      </c>
      <c r="I209" s="153">
        <v>3.7168883423880798E-2</v>
      </c>
      <c r="J209" s="154">
        <v>3.3436937072315702E-2</v>
      </c>
      <c r="K209" s="152">
        <f t="shared" si="15"/>
        <v>134.06854209683263</v>
      </c>
      <c r="L209" s="168"/>
      <c r="M209" s="7"/>
      <c r="N209" s="7"/>
      <c r="O209" s="7"/>
      <c r="P209" s="7"/>
      <c r="Q209" s="7"/>
      <c r="R209" s="90"/>
    </row>
    <row r="210" spans="1:18" ht="14.4" customHeight="1">
      <c r="A210" s="49"/>
      <c r="B210" s="148">
        <v>43405</v>
      </c>
      <c r="C210" s="149">
        <v>9.43</v>
      </c>
      <c r="D210" s="150">
        <v>0</v>
      </c>
      <c r="E210" s="151">
        <f t="shared" si="12"/>
        <v>9.43</v>
      </c>
      <c r="F210" s="149">
        <f t="shared" si="13"/>
        <v>0.28982389279896731</v>
      </c>
      <c r="G210" s="151">
        <f t="shared" si="14"/>
        <v>0.28982389279896731</v>
      </c>
      <c r="H210" s="152">
        <v>32.536999999999999</v>
      </c>
      <c r="I210" s="153">
        <v>3.6710262631145997E-2</v>
      </c>
      <c r="J210" s="154">
        <v>3.3184630792155001E-2</v>
      </c>
      <c r="K210" s="152">
        <f t="shared" si="15"/>
        <v>130.98724895935115</v>
      </c>
      <c r="L210" s="168"/>
      <c r="M210" s="7"/>
      <c r="N210" s="7"/>
      <c r="O210" s="7"/>
      <c r="P210" s="7"/>
      <c r="Q210" s="7"/>
      <c r="R210" s="90"/>
    </row>
    <row r="211" spans="1:18" ht="14.4" customHeight="1">
      <c r="A211" s="49"/>
      <c r="B211" s="156">
        <v>43435</v>
      </c>
      <c r="C211" s="171">
        <v>9.4600000000000009</v>
      </c>
      <c r="D211" s="172">
        <v>0</v>
      </c>
      <c r="E211" s="173">
        <f t="shared" si="12"/>
        <v>9.4600000000000009</v>
      </c>
      <c r="F211" s="157">
        <f t="shared" si="13"/>
        <v>0.29366114111876829</v>
      </c>
      <c r="G211" s="159">
        <f t="shared" si="14"/>
        <v>0.29366114111876829</v>
      </c>
      <c r="H211" s="81">
        <v>32.213999999999999</v>
      </c>
      <c r="I211" s="161">
        <v>3.7182470098506899E-2</v>
      </c>
      <c r="J211" s="162">
        <v>3.3068492458646903E-2</v>
      </c>
      <c r="K211" s="81">
        <f t="shared" si="15"/>
        <v>130.73793845807177</v>
      </c>
      <c r="L211" s="169"/>
      <c r="M211" s="7"/>
      <c r="N211" s="7"/>
      <c r="O211" s="7"/>
      <c r="P211" s="7"/>
      <c r="Q211" s="7"/>
      <c r="R211" s="90"/>
    </row>
    <row r="212" spans="1:18" ht="14.4" customHeight="1">
      <c r="A212" s="49"/>
      <c r="B212" s="140">
        <v>43466</v>
      </c>
      <c r="C212" s="182">
        <v>9.43</v>
      </c>
      <c r="D212" s="183">
        <v>0</v>
      </c>
      <c r="E212" s="184">
        <f t="shared" si="12"/>
        <v>9.43</v>
      </c>
      <c r="F212" s="141">
        <f t="shared" si="13"/>
        <v>0.28928155101539971</v>
      </c>
      <c r="G212" s="143">
        <f t="shared" si="14"/>
        <v>0.28928155101539971</v>
      </c>
      <c r="H212" s="185">
        <v>32.597999999999999</v>
      </c>
      <c r="I212" s="145">
        <v>3.7683616746510502E-2</v>
      </c>
      <c r="J212" s="146">
        <v>3.2965437326692E-2</v>
      </c>
      <c r="K212" s="185">
        <f t="shared" si="15"/>
        <v>129.58899345402423</v>
      </c>
      <c r="L212" s="170"/>
      <c r="M212" s="7"/>
      <c r="N212" s="7"/>
      <c r="O212" s="7"/>
      <c r="P212" s="7"/>
      <c r="Q212" s="7"/>
      <c r="R212" s="90"/>
    </row>
    <row r="213" spans="1:18" ht="14.4" customHeight="1">
      <c r="A213" s="49"/>
      <c r="B213" s="148">
        <v>43497</v>
      </c>
      <c r="C213" s="149">
        <v>9.67</v>
      </c>
      <c r="D213" s="150">
        <v>0.08</v>
      </c>
      <c r="E213" s="151">
        <f t="shared" si="12"/>
        <v>9.59</v>
      </c>
      <c r="F213" s="149">
        <f t="shared" si="13"/>
        <v>0.29653480527445569</v>
      </c>
      <c r="G213" s="151">
        <f t="shared" si="14"/>
        <v>0.29408157007053054</v>
      </c>
      <c r="H213" s="80">
        <v>32.61</v>
      </c>
      <c r="I213" s="153">
        <v>3.8352598519981802E-2</v>
      </c>
      <c r="J213" s="154">
        <v>3.3694719982931998E-2</v>
      </c>
      <c r="K213" s="152">
        <f t="shared" si="15"/>
        <v>130.30810458523055</v>
      </c>
      <c r="L213" s="174" t="s">
        <v>78</v>
      </c>
      <c r="M213" s="7"/>
      <c r="N213" s="7"/>
      <c r="O213" s="7"/>
      <c r="P213" s="7"/>
      <c r="Q213" s="7"/>
      <c r="R213" s="90"/>
    </row>
    <row r="214" spans="1:18" ht="14.4" customHeight="1">
      <c r="A214" s="49"/>
      <c r="B214" s="148">
        <v>43525</v>
      </c>
      <c r="C214" s="149">
        <v>10.1</v>
      </c>
      <c r="D214" s="150">
        <v>0.1</v>
      </c>
      <c r="E214" s="151">
        <f t="shared" si="12"/>
        <v>10</v>
      </c>
      <c r="F214" s="149">
        <f t="shared" si="13"/>
        <v>0.30318494281511721</v>
      </c>
      <c r="G214" s="151">
        <f t="shared" si="14"/>
        <v>0.30018311169813583</v>
      </c>
      <c r="H214" s="80">
        <v>33.313000000000002</v>
      </c>
      <c r="I214" s="153">
        <v>3.9029561524066697E-2</v>
      </c>
      <c r="J214" s="154">
        <v>3.4760915937600598E-2</v>
      </c>
      <c r="K214" s="152">
        <f t="shared" si="15"/>
        <v>132.88740742750147</v>
      </c>
      <c r="L214" s="174" t="s">
        <v>79</v>
      </c>
      <c r="M214" s="7"/>
      <c r="N214" s="7"/>
      <c r="O214" s="7"/>
      <c r="P214" s="7"/>
      <c r="Q214" s="7"/>
      <c r="R214" s="90"/>
    </row>
    <row r="215" spans="1:18" ht="14.4" customHeight="1">
      <c r="A215" s="49"/>
      <c r="B215" s="148">
        <v>43556</v>
      </c>
      <c r="C215" s="176">
        <v>10.53</v>
      </c>
      <c r="D215" s="177">
        <v>0.12</v>
      </c>
      <c r="E215" s="178">
        <f t="shared" si="12"/>
        <v>10.41</v>
      </c>
      <c r="F215" s="149">
        <f t="shared" si="13"/>
        <v>0.30847199437543937</v>
      </c>
      <c r="G215" s="151">
        <f t="shared" si="14"/>
        <v>0.30495664401218653</v>
      </c>
      <c r="H215" s="80">
        <v>34.136000000000003</v>
      </c>
      <c r="I215" s="153">
        <v>3.9086805214859202E-2</v>
      </c>
      <c r="J215" s="154">
        <v>3.4320327672412498E-2</v>
      </c>
      <c r="K215" s="80">
        <f t="shared" si="15"/>
        <v>139.26849570018334</v>
      </c>
      <c r="L215" s="174" t="s">
        <v>80</v>
      </c>
      <c r="M215" s="7"/>
      <c r="N215" s="7"/>
      <c r="O215" s="7"/>
      <c r="P215" s="7"/>
      <c r="Q215" s="7"/>
      <c r="R215" s="90"/>
    </row>
    <row r="216" spans="1:18" ht="14.4" customHeight="1">
      <c r="A216" s="49"/>
      <c r="B216" s="148">
        <v>43586</v>
      </c>
      <c r="C216" s="176">
        <v>10.62</v>
      </c>
      <c r="D216" s="177">
        <v>0.11</v>
      </c>
      <c r="E216" s="178">
        <f t="shared" si="12"/>
        <v>10.51</v>
      </c>
      <c r="F216" s="149">
        <f t="shared" si="13"/>
        <v>0.30202201177373944</v>
      </c>
      <c r="G216" s="151">
        <f t="shared" si="14"/>
        <v>0.29889372351619603</v>
      </c>
      <c r="H216" s="80">
        <v>35.162999999999997</v>
      </c>
      <c r="I216" s="153">
        <v>3.9751940966324499E-2</v>
      </c>
      <c r="J216" s="154">
        <v>3.4634386706094103E-2</v>
      </c>
      <c r="K216" s="80">
        <f t="shared" si="15"/>
        <v>138.60987542033939</v>
      </c>
      <c r="L216" s="174" t="s">
        <v>81</v>
      </c>
      <c r="M216" s="7"/>
      <c r="N216" s="7"/>
      <c r="O216" s="7"/>
      <c r="P216" s="7"/>
      <c r="Q216" s="7"/>
      <c r="R216" s="90"/>
    </row>
    <row r="217" spans="1:18" ht="14.4" customHeight="1">
      <c r="A217" s="49"/>
      <c r="B217" s="148">
        <v>43617</v>
      </c>
      <c r="C217" s="176">
        <v>10.9</v>
      </c>
      <c r="D217" s="177">
        <v>0.11</v>
      </c>
      <c r="E217" s="178">
        <f t="shared" si="12"/>
        <v>10.790000000000001</v>
      </c>
      <c r="F217" s="149">
        <f t="shared" si="13"/>
        <v>0.30921985815602837</v>
      </c>
      <c r="G217" s="151">
        <f t="shared" si="14"/>
        <v>0.30609929078014186</v>
      </c>
      <c r="H217" s="152">
        <v>35.25</v>
      </c>
      <c r="I217" s="153">
        <v>3.8237602048204901E-2</v>
      </c>
      <c r="J217" s="154">
        <v>3.4341050045387497E-2</v>
      </c>
      <c r="K217" s="80">
        <f t="shared" si="15"/>
        <v>145.8076716304702</v>
      </c>
      <c r="L217" s="174" t="s">
        <v>81</v>
      </c>
      <c r="M217" s="7"/>
      <c r="N217" s="7"/>
      <c r="O217" s="7"/>
      <c r="P217" s="7"/>
      <c r="Q217" s="7"/>
      <c r="R217" s="90"/>
    </row>
    <row r="218" spans="1:18" ht="14.4" customHeight="1">
      <c r="A218" s="49"/>
      <c r="B218" s="148">
        <v>43647</v>
      </c>
      <c r="C218" s="176">
        <v>10.77</v>
      </c>
      <c r="D218" s="177">
        <v>0.09</v>
      </c>
      <c r="E218" s="178">
        <f t="shared" si="12"/>
        <v>10.68</v>
      </c>
      <c r="F218" s="149">
        <f t="shared" si="13"/>
        <v>0.30927835051546393</v>
      </c>
      <c r="G218" s="151">
        <f t="shared" si="14"/>
        <v>0.30669385176463831</v>
      </c>
      <c r="H218" s="152">
        <v>34.823</v>
      </c>
      <c r="I218" s="153">
        <v>3.81506840866234E-2</v>
      </c>
      <c r="J218" s="154">
        <v>3.43596193861435E-2</v>
      </c>
      <c r="K218" s="80">
        <f t="shared" si="15"/>
        <v>144.20448100232792</v>
      </c>
      <c r="L218" s="174" t="s">
        <v>82</v>
      </c>
      <c r="M218" s="7"/>
      <c r="N218" s="7"/>
      <c r="O218" s="7"/>
      <c r="P218" s="7"/>
      <c r="Q218" s="7"/>
      <c r="R218" s="90"/>
    </row>
    <row r="219" spans="1:18" ht="14.4" customHeight="1">
      <c r="A219" s="49"/>
      <c r="B219" s="148">
        <v>43678</v>
      </c>
      <c r="C219" s="176">
        <v>11.066000000000001</v>
      </c>
      <c r="D219" s="177">
        <v>0.126</v>
      </c>
      <c r="E219" s="178">
        <f t="shared" si="12"/>
        <v>10.940000000000001</v>
      </c>
      <c r="F219" s="149">
        <f t="shared" si="13"/>
        <v>0.30778216610112924</v>
      </c>
      <c r="G219" s="151">
        <f t="shared" si="14"/>
        <v>0.30427768815708967</v>
      </c>
      <c r="H219" s="152">
        <v>35.954000000000001</v>
      </c>
      <c r="I219" s="153">
        <v>3.7679358512912098E-2</v>
      </c>
      <c r="J219" s="154">
        <v>3.4281371098329502E-2</v>
      </c>
      <c r="K219" s="80">
        <f t="shared" si="15"/>
        <v>149.29933838122156</v>
      </c>
      <c r="L219" s="174" t="s">
        <v>83</v>
      </c>
      <c r="M219" s="7"/>
      <c r="N219" s="7"/>
      <c r="O219" s="7"/>
      <c r="P219" s="7"/>
      <c r="Q219" s="7"/>
      <c r="R219" s="90"/>
    </row>
    <row r="220" spans="1:18" ht="14.4" customHeight="1">
      <c r="A220" s="49"/>
      <c r="B220" s="148">
        <v>43709</v>
      </c>
      <c r="C220" s="176">
        <v>11.228</v>
      </c>
      <c r="D220" s="177">
        <v>0.128</v>
      </c>
      <c r="E220" s="178">
        <f t="shared" si="12"/>
        <v>11.1</v>
      </c>
      <c r="F220" s="149">
        <f t="shared" si="13"/>
        <v>0.30601509907061675</v>
      </c>
      <c r="G220" s="151">
        <f t="shared" si="14"/>
        <v>0.30252650513749962</v>
      </c>
      <c r="H220" s="152">
        <v>36.691000000000003</v>
      </c>
      <c r="I220" s="153">
        <v>3.7240046314753403E-2</v>
      </c>
      <c r="J220" s="154">
        <v>3.4896277305989598E-2</v>
      </c>
      <c r="K220" s="80">
        <f t="shared" si="15"/>
        <v>151.11625221016675</v>
      </c>
      <c r="L220" s="174" t="s">
        <v>84</v>
      </c>
      <c r="M220" s="7"/>
      <c r="N220" s="7"/>
      <c r="O220" s="7"/>
      <c r="P220" s="7"/>
      <c r="Q220" s="7"/>
      <c r="R220" s="90"/>
    </row>
    <row r="221" spans="1:18" ht="14.4" customHeight="1">
      <c r="A221" s="49"/>
      <c r="B221" s="148">
        <v>43739</v>
      </c>
      <c r="C221" s="176">
        <v>11.34</v>
      </c>
      <c r="D221" s="177">
        <v>0.13</v>
      </c>
      <c r="E221" s="178">
        <f t="shared" si="12"/>
        <v>11.209999999999999</v>
      </c>
      <c r="F221" s="149">
        <f t="shared" si="13"/>
        <v>0.30401329723063725</v>
      </c>
      <c r="G221" s="151">
        <f t="shared" si="14"/>
        <v>0.3005281359749068</v>
      </c>
      <c r="H221" s="152">
        <v>37.301000000000002</v>
      </c>
      <c r="I221" s="153">
        <v>3.7422572141484499E-2</v>
      </c>
      <c r="J221" s="154">
        <v>3.4526407736010199E-2</v>
      </c>
      <c r="K221" s="80">
        <f t="shared" si="15"/>
        <v>153.02105403870866</v>
      </c>
      <c r="L221" s="174" t="s">
        <v>85</v>
      </c>
      <c r="M221" s="7"/>
      <c r="N221" s="7"/>
      <c r="O221" s="7"/>
      <c r="P221" s="7"/>
      <c r="Q221" s="7"/>
      <c r="R221" s="90"/>
    </row>
    <row r="222" spans="1:18" ht="14.4" customHeight="1">
      <c r="A222" s="49"/>
      <c r="B222" s="148">
        <v>43770</v>
      </c>
      <c r="C222" s="176">
        <v>11.271000000000001</v>
      </c>
      <c r="D222" s="177">
        <v>0.13100000000000001</v>
      </c>
      <c r="E222" s="178">
        <f t="shared" si="12"/>
        <v>11.14</v>
      </c>
      <c r="F222" s="149">
        <f t="shared" si="13"/>
        <v>0.29945003852387153</v>
      </c>
      <c r="G222" s="151">
        <f t="shared" si="14"/>
        <v>0.29596960599378302</v>
      </c>
      <c r="H222" s="152">
        <v>37.639000000000003</v>
      </c>
      <c r="I222" s="153">
        <v>3.65926430628895E-2</v>
      </c>
      <c r="J222" s="154">
        <v>3.3417468015936098E-2</v>
      </c>
      <c r="K222" s="80">
        <f t="shared" si="15"/>
        <v>156.30197235769768</v>
      </c>
      <c r="L222" s="174" t="s">
        <v>86</v>
      </c>
      <c r="M222" s="7"/>
      <c r="N222" s="7"/>
      <c r="O222" s="7"/>
      <c r="P222" s="7"/>
      <c r="Q222" s="7"/>
      <c r="R222" s="90"/>
    </row>
    <row r="223" spans="1:18" ht="14.4" customHeight="1">
      <c r="A223" s="49"/>
      <c r="B223" s="156">
        <v>43800</v>
      </c>
      <c r="C223" s="171">
        <v>11.702</v>
      </c>
      <c r="D223" s="172">
        <f>0.291+0.131</f>
        <v>0.42199999999999999</v>
      </c>
      <c r="E223" s="173">
        <f t="shared" si="12"/>
        <v>11.28</v>
      </c>
      <c r="F223" s="157">
        <f t="shared" si="13"/>
        <v>0.31134761207928696</v>
      </c>
      <c r="G223" s="159">
        <f t="shared" si="14"/>
        <v>0.30011972861513897</v>
      </c>
      <c r="H223" s="81">
        <v>37.585000000000001</v>
      </c>
      <c r="I223" s="161">
        <v>3.7538722601674103E-2</v>
      </c>
      <c r="J223" s="162">
        <v>3.26582548539723E-2</v>
      </c>
      <c r="K223" s="81">
        <f t="shared" si="15"/>
        <v>161.84692646805459</v>
      </c>
      <c r="L223" s="180" t="s">
        <v>87</v>
      </c>
      <c r="M223" s="7"/>
      <c r="N223" s="7"/>
      <c r="O223" s="7"/>
      <c r="P223" s="7"/>
      <c r="Q223" s="7"/>
      <c r="R223" s="90"/>
    </row>
    <row r="224" spans="1:18" ht="14.4" customHeight="1">
      <c r="A224" s="49"/>
      <c r="B224" s="140">
        <v>43831</v>
      </c>
      <c r="C224" s="182">
        <f t="shared" ref="C224:C244" si="16">E224+D224</f>
        <v>12.052000000000001</v>
      </c>
      <c r="D224" s="183">
        <f>0.287+0.125</f>
        <v>0.41199999999999998</v>
      </c>
      <c r="E224" s="184">
        <v>11.64</v>
      </c>
      <c r="F224" s="141">
        <f t="shared" si="13"/>
        <v>0.3206001276867419</v>
      </c>
      <c r="G224" s="143">
        <f t="shared" si="14"/>
        <v>0.30964034901042775</v>
      </c>
      <c r="H224" s="144">
        <v>37.591999999999999</v>
      </c>
      <c r="I224" s="145">
        <v>3.7397495969651799E-2</v>
      </c>
      <c r="J224" s="146">
        <v>3.32337826354775E-2</v>
      </c>
      <c r="K224" s="185">
        <f t="shared" si="15"/>
        <v>165.66273618238981</v>
      </c>
      <c r="L224" s="181" t="s">
        <v>88</v>
      </c>
      <c r="M224" s="7"/>
      <c r="N224" s="7"/>
      <c r="O224" s="7"/>
      <c r="P224" s="7"/>
      <c r="Q224" s="7"/>
      <c r="R224" s="90"/>
    </row>
    <row r="225" spans="1:18" ht="14.4" customHeight="1">
      <c r="A225" s="49"/>
      <c r="B225" s="148">
        <v>43862</v>
      </c>
      <c r="C225" s="176">
        <f t="shared" si="16"/>
        <v>12.327</v>
      </c>
      <c r="D225" s="177">
        <f>0.285+0.122</f>
        <v>0.40699999999999997</v>
      </c>
      <c r="E225" s="178">
        <v>11.92</v>
      </c>
      <c r="F225" s="149">
        <f t="shared" si="13"/>
        <v>0.32401955630322787</v>
      </c>
      <c r="G225" s="151">
        <f t="shared" si="14"/>
        <v>0.31332141730627694</v>
      </c>
      <c r="H225" s="152">
        <v>38.043999999999997</v>
      </c>
      <c r="I225" s="153">
        <v>3.8007028316949097E-2</v>
      </c>
      <c r="J225" s="154">
        <v>3.3975255626101097E-2</v>
      </c>
      <c r="K225" s="80">
        <f t="shared" si="15"/>
        <v>166.26259281404802</v>
      </c>
      <c r="L225" s="174" t="s">
        <v>89</v>
      </c>
      <c r="M225" s="7"/>
      <c r="N225" s="7"/>
      <c r="O225" s="7"/>
      <c r="P225" s="7"/>
      <c r="Q225" s="7"/>
      <c r="R225" s="90"/>
    </row>
    <row r="226" spans="1:18" ht="14.4" customHeight="1">
      <c r="A226" s="49"/>
      <c r="B226" s="148">
        <v>43891</v>
      </c>
      <c r="C226" s="176">
        <f t="shared" si="16"/>
        <v>12.225999999999999</v>
      </c>
      <c r="D226" s="177">
        <v>0.126</v>
      </c>
      <c r="E226" s="178">
        <v>12.1</v>
      </c>
      <c r="F226" s="149">
        <f t="shared" si="13"/>
        <v>0.28207553699559323</v>
      </c>
      <c r="G226" s="151">
        <f t="shared" si="14"/>
        <v>0.27916849318229009</v>
      </c>
      <c r="H226" s="152">
        <v>43.343000000000004</v>
      </c>
      <c r="I226" s="153">
        <v>3.9239678370474901E-2</v>
      </c>
      <c r="J226" s="154">
        <v>3.4167390312466003E-2</v>
      </c>
      <c r="K226" s="80">
        <f t="shared" si="15"/>
        <v>161.6997262741784</v>
      </c>
      <c r="L226" s="174" t="s">
        <v>83</v>
      </c>
      <c r="M226" s="7"/>
      <c r="N226" s="7"/>
      <c r="O226" s="7"/>
      <c r="P226" s="7"/>
      <c r="Q226" s="7"/>
      <c r="R226" s="90"/>
    </row>
    <row r="227" spans="1:18" ht="14.4" customHeight="1">
      <c r="A227" s="49"/>
      <c r="B227" s="148">
        <v>43922</v>
      </c>
      <c r="C227" s="176">
        <f t="shared" si="16"/>
        <v>12.437000000000001</v>
      </c>
      <c r="D227" s="177">
        <v>0.127</v>
      </c>
      <c r="E227" s="178">
        <v>12.31</v>
      </c>
      <c r="F227" s="149">
        <f t="shared" si="13"/>
        <v>0.28662625890161558</v>
      </c>
      <c r="G227" s="151">
        <f t="shared" si="14"/>
        <v>0.2836993846650227</v>
      </c>
      <c r="H227" s="152">
        <v>43.390999999999998</v>
      </c>
      <c r="I227" s="153">
        <v>3.96176992148594E-2</v>
      </c>
      <c r="J227" s="154">
        <v>3.4629300273036297E-2</v>
      </c>
      <c r="K227" s="80">
        <f t="shared" si="15"/>
        <v>162.62956570415906</v>
      </c>
      <c r="L227" s="174" t="s">
        <v>90</v>
      </c>
      <c r="M227" s="7"/>
      <c r="N227" s="7"/>
      <c r="O227" s="7"/>
      <c r="P227" s="7"/>
      <c r="Q227" s="7"/>
      <c r="R227" s="90"/>
    </row>
    <row r="228" spans="1:18" ht="14.4" customHeight="1">
      <c r="A228" s="49"/>
      <c r="B228" s="148">
        <v>43952</v>
      </c>
      <c r="C228" s="176">
        <f t="shared" si="16"/>
        <v>12.648999999999999</v>
      </c>
      <c r="D228" s="177">
        <v>0.129</v>
      </c>
      <c r="E228" s="178">
        <v>12.52</v>
      </c>
      <c r="F228" s="149">
        <f t="shared" si="13"/>
        <v>0.29125028781947959</v>
      </c>
      <c r="G228" s="151">
        <f t="shared" si="14"/>
        <v>0.28827999078977662</v>
      </c>
      <c r="H228" s="152">
        <v>43.43</v>
      </c>
      <c r="I228" s="153">
        <v>3.9949612633145302E-2</v>
      </c>
      <c r="J228" s="154">
        <v>3.5394208681701601E-2</v>
      </c>
      <c r="K228" s="80">
        <f t="shared" si="15"/>
        <v>162.99389000929116</v>
      </c>
      <c r="L228" s="174" t="s">
        <v>91</v>
      </c>
      <c r="M228" s="7"/>
      <c r="N228" s="7"/>
      <c r="O228" s="7"/>
      <c r="P228" s="7"/>
      <c r="Q228" s="7"/>
      <c r="R228" s="90"/>
    </row>
    <row r="229" spans="1:18" ht="14.4" customHeight="1">
      <c r="A229" s="49"/>
      <c r="B229" s="148">
        <v>43983</v>
      </c>
      <c r="C229" s="176">
        <f t="shared" si="16"/>
        <v>12.28</v>
      </c>
      <c r="D229" s="177">
        <v>0</v>
      </c>
      <c r="E229" s="178">
        <v>12.28</v>
      </c>
      <c r="F229" s="149">
        <f t="shared" si="13"/>
        <v>0.28842540398346483</v>
      </c>
      <c r="G229" s="151">
        <f t="shared" si="14"/>
        <v>0.28842540398346483</v>
      </c>
      <c r="H229" s="152">
        <v>42.576000000000001</v>
      </c>
      <c r="I229" s="153">
        <v>3.8807068701470597E-2</v>
      </c>
      <c r="J229" s="154">
        <v>3.47430631026691E-2</v>
      </c>
      <c r="K229" s="80">
        <f t="shared" si="15"/>
        <v>162.09801131065194</v>
      </c>
      <c r="L229" s="168"/>
      <c r="M229" s="7"/>
      <c r="N229" s="7"/>
      <c r="O229" s="7"/>
      <c r="P229" s="7"/>
      <c r="Q229" s="7"/>
      <c r="R229" s="90"/>
    </row>
    <row r="230" spans="1:18" ht="14.4" customHeight="1">
      <c r="A230" s="49"/>
      <c r="B230" s="148">
        <v>44013</v>
      </c>
      <c r="C230" s="176">
        <f t="shared" si="16"/>
        <v>12.32</v>
      </c>
      <c r="D230" s="177">
        <v>0</v>
      </c>
      <c r="E230" s="178">
        <v>12.32</v>
      </c>
      <c r="F230" s="149">
        <f t="shared" si="13"/>
        <v>0.28936490041337842</v>
      </c>
      <c r="G230" s="151">
        <f t="shared" si="14"/>
        <v>0.28936490041337842</v>
      </c>
      <c r="H230" s="152">
        <v>42.576000000000001</v>
      </c>
      <c r="I230" s="153">
        <v>3.8046104249469803E-2</v>
      </c>
      <c r="J230" s="154">
        <v>3.5099079330957503E-2</v>
      </c>
      <c r="K230" s="80">
        <f t="shared" si="15"/>
        <v>163.52635215402398</v>
      </c>
      <c r="L230" s="168"/>
      <c r="M230" s="7"/>
      <c r="N230" s="7"/>
      <c r="O230" s="7"/>
      <c r="P230" s="7"/>
      <c r="Q230" s="7"/>
      <c r="R230" s="90"/>
    </row>
    <row r="231" spans="1:18" ht="14.4" customHeight="1">
      <c r="A231" s="49"/>
      <c r="B231" s="148">
        <v>44044</v>
      </c>
      <c r="C231" s="176">
        <f t="shared" si="16"/>
        <v>12.38281762566938</v>
      </c>
      <c r="D231" s="177">
        <v>0.202817625669381</v>
      </c>
      <c r="E231" s="178">
        <v>12.18</v>
      </c>
      <c r="F231" s="149">
        <f t="shared" si="13"/>
        <v>0.29022002075771391</v>
      </c>
      <c r="G231" s="151">
        <f t="shared" si="14"/>
        <v>0.28546651979281412</v>
      </c>
      <c r="H231" s="80">
        <v>42.667000000000002</v>
      </c>
      <c r="I231" s="153">
        <v>3.7302643204279798E-2</v>
      </c>
      <c r="J231" s="154">
        <v>3.5201811298529097E-2</v>
      </c>
      <c r="K231" s="80">
        <f t="shared" si="15"/>
        <v>165.81261271560516</v>
      </c>
      <c r="L231" s="168"/>
      <c r="M231" s="7"/>
      <c r="N231" s="7"/>
      <c r="O231" s="7"/>
      <c r="P231" s="7"/>
      <c r="Q231" s="7"/>
      <c r="R231" s="90"/>
    </row>
    <row r="232" spans="1:18" ht="14.4" customHeight="1">
      <c r="A232" s="49"/>
      <c r="B232" s="148">
        <v>44075</v>
      </c>
      <c r="C232" s="176">
        <f t="shared" si="16"/>
        <v>12.87270053164419</v>
      </c>
      <c r="D232" s="177">
        <v>0.20270053164419</v>
      </c>
      <c r="E232" s="178">
        <v>12.67</v>
      </c>
      <c r="F232" s="149">
        <f t="shared" si="13"/>
        <v>0.30295122571001365</v>
      </c>
      <c r="G232" s="151">
        <f t="shared" si="14"/>
        <v>0.29818079122637736</v>
      </c>
      <c r="H232" s="80">
        <v>42.491</v>
      </c>
      <c r="I232" s="153">
        <v>3.7648015627409402E-2</v>
      </c>
      <c r="J232" s="154">
        <v>3.5190480420044398E-2</v>
      </c>
      <c r="K232" s="80">
        <f t="shared" si="15"/>
        <v>171.58189947124194</v>
      </c>
      <c r="L232" s="168"/>
      <c r="M232" s="7"/>
      <c r="N232" s="7"/>
      <c r="O232" s="7"/>
      <c r="P232" s="7"/>
      <c r="Q232" s="7"/>
      <c r="R232" s="90"/>
    </row>
    <row r="233" spans="1:18" ht="14.4" customHeight="1">
      <c r="A233" s="49"/>
      <c r="B233" s="148">
        <v>44105</v>
      </c>
      <c r="C233" s="176">
        <f t="shared" si="16"/>
        <v>12.853559696823819</v>
      </c>
      <c r="D233" s="177">
        <v>0.203559696823818</v>
      </c>
      <c r="E233" s="178">
        <v>12.65</v>
      </c>
      <c r="F233" s="149">
        <f t="shared" si="13"/>
        <v>0.30111180679888067</v>
      </c>
      <c r="G233" s="151">
        <f t="shared" si="14"/>
        <v>0.2963431489680699</v>
      </c>
      <c r="H233" s="80">
        <v>42.686999999999998</v>
      </c>
      <c r="I233" s="153">
        <v>3.7425891396686901E-2</v>
      </c>
      <c r="J233" s="154">
        <v>3.4525237481464799E-2</v>
      </c>
      <c r="K233" s="80">
        <f t="shared" si="15"/>
        <v>173.43972730166539</v>
      </c>
      <c r="L233" s="168"/>
      <c r="M233" s="7"/>
      <c r="N233" s="7"/>
      <c r="O233" s="7"/>
      <c r="P233" s="7"/>
      <c r="Q233" s="7"/>
      <c r="R233" s="90"/>
    </row>
    <row r="234" spans="1:18" ht="14.4" customHeight="1">
      <c r="A234" s="49"/>
      <c r="B234" s="148">
        <v>44136</v>
      </c>
      <c r="C234" s="176">
        <f t="shared" si="16"/>
        <v>12.91408255244855</v>
      </c>
      <c r="D234" s="177">
        <v>0.204082552448549</v>
      </c>
      <c r="E234" s="178">
        <v>12.71</v>
      </c>
      <c r="F234" s="149">
        <f t="shared" si="13"/>
        <v>0.30222519430022349</v>
      </c>
      <c r="G234" s="151">
        <f t="shared" si="14"/>
        <v>0.29744909899368127</v>
      </c>
      <c r="H234" s="80">
        <v>42.73</v>
      </c>
      <c r="I234" s="153">
        <v>3.6661618633352197E-2</v>
      </c>
      <c r="J234" s="154">
        <v>3.3525491942378603E-2</v>
      </c>
      <c r="K234" s="80">
        <f t="shared" si="15"/>
        <v>178.63599345851341</v>
      </c>
      <c r="L234" s="168"/>
      <c r="M234" s="7"/>
      <c r="N234" s="7"/>
      <c r="O234" s="7"/>
      <c r="P234" s="7"/>
      <c r="Q234" s="7"/>
      <c r="R234" s="90"/>
    </row>
    <row r="235" spans="1:18" ht="14.4" customHeight="1">
      <c r="A235" s="49"/>
      <c r="B235" s="156">
        <v>44166</v>
      </c>
      <c r="C235" s="171">
        <f t="shared" si="16"/>
        <v>13.023386609161715</v>
      </c>
      <c r="D235" s="172">
        <v>0.203386609161715</v>
      </c>
      <c r="E235" s="173">
        <v>12.82</v>
      </c>
      <c r="F235" s="157">
        <f t="shared" si="13"/>
        <v>0.30718432420892811</v>
      </c>
      <c r="G235" s="159">
        <f t="shared" si="14"/>
        <v>0.30238701764317388</v>
      </c>
      <c r="H235" s="81">
        <v>42.396000000000001</v>
      </c>
      <c r="I235" s="161">
        <v>3.7487889888289501E-2</v>
      </c>
      <c r="J235" s="162">
        <v>3.33349360757604E-2</v>
      </c>
      <c r="K235" s="81">
        <f t="shared" si="15"/>
        <v>178.53092554520839</v>
      </c>
      <c r="L235" s="169"/>
      <c r="M235" s="7"/>
      <c r="N235" s="7"/>
      <c r="O235" s="18"/>
      <c r="P235" s="7"/>
      <c r="Q235" s="7"/>
      <c r="R235" s="90"/>
    </row>
    <row r="236" spans="1:18" ht="14.4" customHeight="1">
      <c r="A236" s="49"/>
      <c r="B236" s="140">
        <v>44197</v>
      </c>
      <c r="C236" s="182">
        <f t="shared" si="16"/>
        <v>13.53295692504881</v>
      </c>
      <c r="D236" s="183">
        <v>0.20295692504880899</v>
      </c>
      <c r="E236" s="184">
        <v>13.33</v>
      </c>
      <c r="F236" s="141">
        <f t="shared" si="13"/>
        <v>0.32000371068926009</v>
      </c>
      <c r="G236" s="143">
        <f t="shared" si="14"/>
        <v>0.31520454008039728</v>
      </c>
      <c r="H236" s="144">
        <v>42.29</v>
      </c>
      <c r="I236" s="145">
        <v>3.7789499842257997E-2</v>
      </c>
      <c r="J236" s="146">
        <v>3.3681551057796098E-2</v>
      </c>
      <c r="K236" s="182">
        <f t="shared" si="15"/>
        <v>183.83377557283694</v>
      </c>
      <c r="L236" s="186"/>
      <c r="M236" s="7"/>
      <c r="N236" s="7"/>
      <c r="O236" s="18"/>
      <c r="P236" s="7"/>
      <c r="Q236" s="7"/>
      <c r="R236" s="90"/>
    </row>
    <row r="237" spans="1:18" ht="14.4" customHeight="1">
      <c r="A237" s="49"/>
      <c r="B237" s="148">
        <v>44228</v>
      </c>
      <c r="C237" s="176">
        <f t="shared" si="16"/>
        <v>13.953121174889304</v>
      </c>
      <c r="D237" s="177">
        <v>0.20312117488930401</v>
      </c>
      <c r="E237" s="178">
        <v>13.75</v>
      </c>
      <c r="F237" s="149">
        <f t="shared" si="13"/>
        <v>0.32654156739736262</v>
      </c>
      <c r="G237" s="151">
        <f t="shared" si="14"/>
        <v>0.32178797098057571</v>
      </c>
      <c r="H237" s="80">
        <v>42.73</v>
      </c>
      <c r="I237" s="153">
        <v>3.87701185452917E-2</v>
      </c>
      <c r="J237" s="154">
        <v>3.4587439972645601E-2</v>
      </c>
      <c r="K237" s="176">
        <f t="shared" si="15"/>
        <v>184.66699084537746</v>
      </c>
      <c r="L237" s="187"/>
      <c r="M237" s="7"/>
      <c r="N237" s="7"/>
      <c r="O237" s="18"/>
      <c r="P237" s="7"/>
      <c r="Q237" s="7"/>
      <c r="R237" s="90"/>
    </row>
    <row r="238" spans="1:18" ht="14.4" customHeight="1">
      <c r="A238" s="49"/>
      <c r="B238" s="148">
        <v>44256</v>
      </c>
      <c r="C238" s="176">
        <f t="shared" si="16"/>
        <v>14.163758744714405</v>
      </c>
      <c r="D238" s="177">
        <v>0.16375874471440599</v>
      </c>
      <c r="E238" s="178">
        <v>14</v>
      </c>
      <c r="F238" s="149">
        <f t="shared" si="13"/>
        <v>0.31998370560081341</v>
      </c>
      <c r="G238" s="151">
        <f t="shared" si="14"/>
        <v>0.31628411350081326</v>
      </c>
      <c r="H238" s="80">
        <v>44.264000000000003</v>
      </c>
      <c r="I238" s="153">
        <v>3.9652218084881702E-2</v>
      </c>
      <c r="J238" s="154">
        <v>3.49223495413978E-2</v>
      </c>
      <c r="K238" s="176">
        <f t="shared" si="15"/>
        <v>184.39559919622209</v>
      </c>
      <c r="L238" s="187"/>
      <c r="M238" s="7"/>
      <c r="N238" s="7"/>
      <c r="O238" s="18"/>
      <c r="P238" s="7"/>
      <c r="Q238" s="7"/>
      <c r="R238" s="90"/>
    </row>
    <row r="239" spans="1:18" ht="14.4" customHeight="1">
      <c r="A239" s="49"/>
      <c r="B239" s="148">
        <v>44287</v>
      </c>
      <c r="C239" s="176">
        <f t="shared" si="16"/>
        <v>15.079548290623649</v>
      </c>
      <c r="D239" s="177">
        <v>0.16954829062364901</v>
      </c>
      <c r="E239" s="178">
        <v>14.91</v>
      </c>
      <c r="F239" s="149">
        <f t="shared" si="13"/>
        <v>0.34201742550745401</v>
      </c>
      <c r="G239" s="151">
        <f t="shared" si="14"/>
        <v>0.33817192107053751</v>
      </c>
      <c r="H239" s="80">
        <v>44.09</v>
      </c>
      <c r="I239" s="153">
        <v>4.0039821410044397E-2</v>
      </c>
      <c r="J239" s="154">
        <v>3.46266814163321E-2</v>
      </c>
      <c r="K239" s="176">
        <f t="shared" si="15"/>
        <v>196.07638756404626</v>
      </c>
      <c r="L239" s="187"/>
      <c r="M239" s="7"/>
      <c r="N239" s="7"/>
      <c r="O239" s="18"/>
      <c r="P239" s="7"/>
      <c r="Q239" s="7"/>
      <c r="R239" s="90"/>
    </row>
    <row r="240" spans="1:18" ht="14.4" customHeight="1">
      <c r="A240" s="49"/>
      <c r="B240" s="148">
        <v>44317</v>
      </c>
      <c r="C240" s="176">
        <f t="shared" si="16"/>
        <v>15.571597445714275</v>
      </c>
      <c r="D240" s="177">
        <f>0.00203673211762163+0.209560713596654</f>
        <v>0.21159744571427563</v>
      </c>
      <c r="E240" s="178">
        <v>15.36</v>
      </c>
      <c r="F240" s="149">
        <f t="shared" si="13"/>
        <v>0.35402063079946061</v>
      </c>
      <c r="G240" s="151">
        <f t="shared" si="14"/>
        <v>0.34920995794020687</v>
      </c>
      <c r="H240" s="80">
        <v>43.984999999999999</v>
      </c>
      <c r="I240" s="153">
        <v>3.9892883779493203E-2</v>
      </c>
      <c r="J240" s="154">
        <v>3.49021393414626E-2</v>
      </c>
      <c r="K240" s="176">
        <f t="shared" si="15"/>
        <v>202.12649373862428</v>
      </c>
      <c r="L240" s="187"/>
      <c r="M240" s="7"/>
      <c r="N240" s="7"/>
      <c r="O240" s="18"/>
      <c r="P240" s="7"/>
      <c r="Q240" s="7"/>
      <c r="R240" s="90"/>
    </row>
    <row r="241" spans="1:18" ht="14.4" customHeight="1">
      <c r="A241" s="49"/>
      <c r="B241" s="148">
        <v>44348</v>
      </c>
      <c r="C241" s="176">
        <f t="shared" si="16"/>
        <v>15.486103435299105</v>
      </c>
      <c r="D241" s="177">
        <f>0.00118985258586109+0.174913582713243</f>
        <v>0.17610343529910411</v>
      </c>
      <c r="E241" s="178">
        <v>15.31</v>
      </c>
      <c r="F241" s="149">
        <f t="shared" si="13"/>
        <v>0.35518585860777763</v>
      </c>
      <c r="G241" s="151">
        <f t="shared" si="14"/>
        <v>0.35114678899082569</v>
      </c>
      <c r="H241" s="80">
        <v>43.6</v>
      </c>
      <c r="I241" s="153">
        <v>3.9796523892949201E-2</v>
      </c>
      <c r="J241" s="154">
        <v>3.45546631460662E-2</v>
      </c>
      <c r="K241" s="176">
        <f t="shared" si="15"/>
        <v>202.21670262025006</v>
      </c>
      <c r="L241" s="187"/>
      <c r="M241" s="7"/>
      <c r="N241" s="7"/>
      <c r="O241" s="18"/>
      <c r="P241" s="7"/>
      <c r="Q241" s="7"/>
      <c r="R241" s="90"/>
    </row>
    <row r="242" spans="1:18" ht="14.4" customHeight="1">
      <c r="A242" s="49"/>
      <c r="B242" s="148">
        <v>44378</v>
      </c>
      <c r="C242" s="339">
        <f t="shared" si="16"/>
        <v>15.813504263244047</v>
      </c>
      <c r="D242" s="177">
        <v>0.47350426324404798</v>
      </c>
      <c r="E242" s="178">
        <v>15.34</v>
      </c>
      <c r="F242" s="149">
        <f t="shared" si="13"/>
        <v>0.36076709929149381</v>
      </c>
      <c r="G242" s="151">
        <f t="shared" si="14"/>
        <v>0.34996463851436133</v>
      </c>
      <c r="H242" s="80">
        <v>43.832999999999998</v>
      </c>
      <c r="I242" s="153">
        <v>3.8947829364680303E-2</v>
      </c>
      <c r="J242" s="154">
        <v>3.4796756845776301E-2</v>
      </c>
      <c r="K242" s="176">
        <f t="shared" si="15"/>
        <v>208.19042521461935</v>
      </c>
      <c r="L242" s="188" t="s">
        <v>92</v>
      </c>
      <c r="M242" s="7"/>
      <c r="N242" s="7"/>
      <c r="O242" s="18"/>
      <c r="P242" s="7"/>
      <c r="Q242" s="7"/>
      <c r="R242" s="90"/>
    </row>
    <row r="243" spans="1:18" ht="14.4" customHeight="1">
      <c r="A243" s="49"/>
      <c r="B243" s="148">
        <v>44409</v>
      </c>
      <c r="C243" s="339">
        <f t="shared" si="16"/>
        <v>15.836401931120198</v>
      </c>
      <c r="D243" s="177">
        <v>0.47640193112019902</v>
      </c>
      <c r="E243" s="178">
        <v>15.36</v>
      </c>
      <c r="F243" s="149">
        <f t="shared" si="13"/>
        <v>0.36641374204350297</v>
      </c>
      <c r="G243" s="151">
        <f t="shared" si="14"/>
        <v>0.35539102267468764</v>
      </c>
      <c r="H243" s="80">
        <v>43.22</v>
      </c>
      <c r="I243" s="153">
        <v>3.8296461804713001E-2</v>
      </c>
      <c r="J243" s="154">
        <v>3.5414228595007501E-2</v>
      </c>
      <c r="K243" s="176">
        <f t="shared" si="15"/>
        <v>208.58775603057219</v>
      </c>
      <c r="L243" s="188" t="s">
        <v>92</v>
      </c>
      <c r="M243" s="7"/>
      <c r="N243" s="7"/>
      <c r="O243" s="18"/>
      <c r="P243" s="7"/>
      <c r="Q243" s="7"/>
      <c r="R243" s="90"/>
    </row>
    <row r="244" spans="1:18" ht="14.4" customHeight="1">
      <c r="A244" s="49"/>
      <c r="B244" s="148">
        <v>44440</v>
      </c>
      <c r="C244" s="339">
        <f t="shared" si="16"/>
        <v>15.656062480787583</v>
      </c>
      <c r="D244" s="177">
        <v>0.47606248078758301</v>
      </c>
      <c r="E244" s="178">
        <v>15.18</v>
      </c>
      <c r="F244" s="149">
        <f t="shared" si="13"/>
        <v>0.36669545569241324</v>
      </c>
      <c r="G244" s="151">
        <f t="shared" si="14"/>
        <v>0.35554514580161611</v>
      </c>
      <c r="H244" s="80">
        <v>42.695</v>
      </c>
      <c r="I244" s="153">
        <v>3.8269882009589397E-2</v>
      </c>
      <c r="J244" s="154">
        <v>3.4712814083737803E-2</v>
      </c>
      <c r="K244" s="176">
        <f t="shared" si="15"/>
        <v>208.2693771893768</v>
      </c>
      <c r="L244" s="188" t="s">
        <v>92</v>
      </c>
      <c r="M244" s="7"/>
      <c r="N244" s="7"/>
      <c r="O244" s="18"/>
      <c r="P244" s="7"/>
      <c r="Q244" s="7"/>
      <c r="R244" s="90"/>
    </row>
    <row r="245" spans="1:18" ht="14.4" customHeight="1">
      <c r="A245" s="49"/>
      <c r="B245" s="148">
        <v>44470</v>
      </c>
      <c r="C245" s="176">
        <v>15.192514188333</v>
      </c>
      <c r="D245" s="177">
        <f>C245-E245</f>
        <v>0.25251418833300043</v>
      </c>
      <c r="E245" s="178">
        <v>14.94</v>
      </c>
      <c r="F245" s="149">
        <f t="shared" si="13"/>
        <v>0.34832433483888942</v>
      </c>
      <c r="G245" s="151">
        <f t="shared" si="14"/>
        <v>0.34253484959647834</v>
      </c>
      <c r="H245" s="80">
        <v>43.616</v>
      </c>
      <c r="I245" s="153">
        <v>3.7856374383229502E-2</v>
      </c>
      <c r="J245" s="154">
        <v>3.4308542682823198E-2</v>
      </c>
      <c r="K245" s="176">
        <f t="shared" si="15"/>
        <v>204.39313692524394</v>
      </c>
      <c r="L245" s="187"/>
      <c r="M245" s="7"/>
      <c r="N245" s="7"/>
      <c r="O245" s="18"/>
      <c r="P245" s="7"/>
      <c r="Q245" s="7"/>
      <c r="R245" s="90"/>
    </row>
    <row r="246" spans="1:18" ht="14.4" customHeight="1">
      <c r="A246" s="49"/>
      <c r="B246" s="148">
        <v>44501</v>
      </c>
      <c r="C246" s="176">
        <v>15.614924580247999</v>
      </c>
      <c r="D246" s="177">
        <f>C246-E246</f>
        <v>0.22492458024799866</v>
      </c>
      <c r="E246" s="178">
        <v>15.39</v>
      </c>
      <c r="F246" s="149">
        <f t="shared" si="13"/>
        <v>0.35496532348824728</v>
      </c>
      <c r="G246" s="151">
        <f t="shared" si="14"/>
        <v>0.34985223914526026</v>
      </c>
      <c r="H246" s="80">
        <v>43.99</v>
      </c>
      <c r="I246" s="153">
        <v>3.74779985288183E-2</v>
      </c>
      <c r="J246" s="154">
        <v>3.3048522154016297E-2</v>
      </c>
      <c r="K246" s="176">
        <f t="shared" si="15"/>
        <v>214.95631437532259</v>
      </c>
      <c r="L246" s="187"/>
      <c r="M246" s="7"/>
      <c r="N246" s="7"/>
      <c r="O246" s="18"/>
      <c r="P246" s="7"/>
      <c r="Q246" s="7"/>
      <c r="R246" s="90"/>
    </row>
    <row r="247" spans="1:18" ht="14.4" customHeight="1">
      <c r="A247" s="49"/>
      <c r="B247" s="156">
        <v>44531</v>
      </c>
      <c r="C247" s="171">
        <v>15.7636654990532</v>
      </c>
      <c r="D247" s="177">
        <f>C247-E247</f>
        <v>0.22366549905320099</v>
      </c>
      <c r="E247" s="173">
        <v>15.54</v>
      </c>
      <c r="F247" s="157">
        <f t="shared" si="13"/>
        <v>0.35563825152968298</v>
      </c>
      <c r="G247" s="159">
        <f t="shared" si="14"/>
        <v>0.35059221658206424</v>
      </c>
      <c r="H247" s="81">
        <v>44.325000000000003</v>
      </c>
      <c r="I247" s="161">
        <v>3.6908953483118699E-2</v>
      </c>
      <c r="J247" s="162">
        <v>3.3612395124754099E-2</v>
      </c>
      <c r="K247" s="171">
        <f t="shared" si="15"/>
        <v>217.01980907697376</v>
      </c>
      <c r="L247" s="187"/>
      <c r="M247" s="7"/>
      <c r="N247" s="7"/>
      <c r="O247" s="18"/>
      <c r="P247" s="7"/>
      <c r="Q247" s="7"/>
      <c r="R247" s="90"/>
    </row>
    <row r="248" spans="1:18" ht="14.4" customHeight="1">
      <c r="A248" s="49"/>
      <c r="B248" s="140">
        <v>44562</v>
      </c>
      <c r="C248" s="208">
        <f t="shared" ref="C248:C289" si="17">E248+D248</f>
        <v>15.91</v>
      </c>
      <c r="D248" s="223">
        <v>0</v>
      </c>
      <c r="E248" s="219">
        <v>15.91</v>
      </c>
      <c r="F248" s="141">
        <f t="shared" si="13"/>
        <v>0.35740761541053578</v>
      </c>
      <c r="G248" s="143">
        <f t="shared" si="14"/>
        <v>0.35740761541053578</v>
      </c>
      <c r="H248" s="144">
        <v>44.515000000000001</v>
      </c>
      <c r="I248" s="145">
        <v>3.78329290502794E-2</v>
      </c>
      <c r="J248" s="146">
        <v>3.3418516229625599E-2</v>
      </c>
      <c r="K248" s="208">
        <f t="shared" si="15"/>
        <v>216.79001571220013</v>
      </c>
      <c r="L248" s="213"/>
      <c r="M248" s="7"/>
      <c r="N248" s="7"/>
      <c r="O248" s="18"/>
      <c r="P248" s="7"/>
      <c r="Q248" s="7"/>
      <c r="R248" s="90"/>
    </row>
    <row r="249" spans="1:18" ht="14.4" customHeight="1">
      <c r="A249" s="49"/>
      <c r="B249" s="148">
        <v>44593</v>
      </c>
      <c r="C249" s="209">
        <f t="shared" si="17"/>
        <v>17.211752500934708</v>
      </c>
      <c r="D249" s="224">
        <v>1.75250093470559E-3</v>
      </c>
      <c r="E249" s="220">
        <v>17.21</v>
      </c>
      <c r="F249" s="149">
        <f t="shared" si="13"/>
        <v>0.39861396745952216</v>
      </c>
      <c r="G249" s="151">
        <f t="shared" si="14"/>
        <v>0.39857338057852199</v>
      </c>
      <c r="H249" s="80">
        <v>43.179000000000002</v>
      </c>
      <c r="I249" s="153">
        <v>3.89881881228352E-2</v>
      </c>
      <c r="J249" s="154">
        <v>3.4741207477945797E-2</v>
      </c>
      <c r="K249" s="209">
        <f t="shared" si="15"/>
        <v>226.64554870050804</v>
      </c>
      <c r="L249" s="212"/>
      <c r="M249" s="7"/>
      <c r="N249" s="7"/>
      <c r="O249" s="18"/>
      <c r="P249" s="7"/>
      <c r="Q249" s="7"/>
      <c r="R249" s="90"/>
    </row>
    <row r="250" spans="1:18" ht="14.4" customHeight="1">
      <c r="A250" s="49"/>
      <c r="B250" s="148">
        <v>44621</v>
      </c>
      <c r="C250" s="209">
        <f t="shared" si="17"/>
        <v>17.776360207407869</v>
      </c>
      <c r="D250" s="224">
        <v>6.3602074078710101E-3</v>
      </c>
      <c r="E250" s="220">
        <v>17.77</v>
      </c>
      <c r="F250" s="149">
        <f t="shared" si="13"/>
        <v>0.42081197375678497</v>
      </c>
      <c r="G250" s="151">
        <f t="shared" si="14"/>
        <v>0.42066141135809482</v>
      </c>
      <c r="H250" s="80">
        <v>42.243000000000002</v>
      </c>
      <c r="I250" s="153">
        <v>4.0269527962401797E-2</v>
      </c>
      <c r="J250" s="154">
        <v>3.5512662287271103E-2</v>
      </c>
      <c r="K250" s="209">
        <f t="shared" si="15"/>
        <v>227.73955313582309</v>
      </c>
      <c r="L250" s="212"/>
      <c r="M250" s="7"/>
      <c r="N250" s="7"/>
      <c r="O250" s="18"/>
      <c r="P250" s="7"/>
      <c r="Q250" s="7"/>
      <c r="R250" s="90"/>
    </row>
    <row r="251" spans="1:18" ht="14.4" customHeight="1">
      <c r="A251" s="49"/>
      <c r="B251" s="148">
        <v>44652</v>
      </c>
      <c r="C251" s="209">
        <f t="shared" si="17"/>
        <v>17.920605837801471</v>
      </c>
      <c r="D251" s="225">
        <v>6.0583780146866403E-4</v>
      </c>
      <c r="E251" s="221">
        <v>17.920000000000002</v>
      </c>
      <c r="F251" s="203">
        <f t="shared" si="13"/>
        <v>0.43550525742548957</v>
      </c>
      <c r="G251" s="204">
        <f t="shared" si="14"/>
        <v>0.4354905343993779</v>
      </c>
      <c r="H251" s="205">
        <v>41.149000000000001</v>
      </c>
      <c r="I251" s="206">
        <v>4.0417428595393698E-2</v>
      </c>
      <c r="J251" s="207">
        <v>3.5568209777648997E-2</v>
      </c>
      <c r="K251" s="210">
        <f t="shared" si="15"/>
        <v>228.97282719467069</v>
      </c>
      <c r="L251" s="212"/>
      <c r="M251" s="7"/>
      <c r="N251" s="7"/>
      <c r="O251" s="18"/>
      <c r="P251" s="7"/>
      <c r="Q251" s="7"/>
      <c r="R251" s="90"/>
    </row>
    <row r="252" spans="1:18" ht="14.4" customHeight="1">
      <c r="A252" s="49"/>
      <c r="B252" s="148">
        <v>44682</v>
      </c>
      <c r="C252" s="209">
        <f t="shared" si="17"/>
        <v>17.810328417923383</v>
      </c>
      <c r="D252" s="225">
        <v>3.2841792338313201E-4</v>
      </c>
      <c r="E252" s="221">
        <v>17.809999999999999</v>
      </c>
      <c r="F252" s="203">
        <f t="shared" si="13"/>
        <v>0.43697748706814321</v>
      </c>
      <c r="G252" s="204">
        <f t="shared" si="14"/>
        <v>0.43696942931449034</v>
      </c>
      <c r="H252" s="205">
        <v>40.758000000000003</v>
      </c>
      <c r="I252" s="206">
        <v>4.0115362983394402E-2</v>
      </c>
      <c r="J252" s="207">
        <v>3.5483721578447799E-2</v>
      </c>
      <c r="K252" s="210">
        <f t="shared" si="15"/>
        <v>228.72738590015763</v>
      </c>
      <c r="L252" s="212"/>
      <c r="M252" s="7"/>
      <c r="N252" s="7"/>
      <c r="O252" s="18"/>
      <c r="P252" s="7"/>
      <c r="Q252" s="7"/>
      <c r="R252" s="90"/>
    </row>
    <row r="253" spans="1:18" ht="14.4" customHeight="1">
      <c r="A253" s="49"/>
      <c r="B253" s="148">
        <v>44713</v>
      </c>
      <c r="C253" s="209">
        <f t="shared" si="17"/>
        <v>17.760328417923386</v>
      </c>
      <c r="D253" s="225">
        <v>3.2841792338313201E-4</v>
      </c>
      <c r="E253" s="221">
        <v>17.760000000000002</v>
      </c>
      <c r="F253" s="203">
        <f t="shared" si="13"/>
        <v>0.4464637611343234</v>
      </c>
      <c r="G253" s="204">
        <f t="shared" si="14"/>
        <v>0.44645550527903471</v>
      </c>
      <c r="H253" s="205">
        <v>39.78</v>
      </c>
      <c r="I253" s="206">
        <v>3.9899999999999998E-2</v>
      </c>
      <c r="J253" s="207">
        <v>3.5299999999999998E-2</v>
      </c>
      <c r="K253" s="210">
        <f t="shared" si="15"/>
        <v>229.29570876269608</v>
      </c>
      <c r="L253" s="212"/>
      <c r="M253" s="7"/>
      <c r="N253" s="7"/>
      <c r="O253" s="18"/>
      <c r="P253" s="7"/>
      <c r="Q253" s="7"/>
      <c r="R253" s="90"/>
    </row>
    <row r="254" spans="1:18" ht="14.4" customHeight="1">
      <c r="A254" s="6"/>
      <c r="B254" s="148">
        <v>44743</v>
      </c>
      <c r="C254" s="210">
        <f t="shared" si="17"/>
        <v>17.48</v>
      </c>
      <c r="D254" s="225">
        <v>0</v>
      </c>
      <c r="E254" s="221">
        <v>17.48</v>
      </c>
      <c r="F254" s="203">
        <f t="shared" si="13"/>
        <v>0.42540764176198587</v>
      </c>
      <c r="G254" s="204">
        <f t="shared" si="14"/>
        <v>0.42540764176198587</v>
      </c>
      <c r="H254" s="205">
        <v>41.09</v>
      </c>
      <c r="I254" s="206">
        <v>3.9465518269064123E-2</v>
      </c>
      <c r="J254" s="207">
        <v>3.4516785458536821E-2</v>
      </c>
      <c r="K254" s="210">
        <f t="shared" si="15"/>
        <v>229.39098853820036</v>
      </c>
      <c r="L254" s="212"/>
      <c r="M254" s="7"/>
      <c r="N254" s="7"/>
      <c r="O254" s="18"/>
      <c r="P254" s="7"/>
      <c r="Q254" s="7"/>
      <c r="R254" s="90"/>
    </row>
    <row r="255" spans="1:18" s="199" customFormat="1" ht="14.4" customHeight="1">
      <c r="A255" s="195"/>
      <c r="B255" s="218">
        <v>44774</v>
      </c>
      <c r="C255" s="210">
        <f t="shared" si="17"/>
        <v>17.25</v>
      </c>
      <c r="D255" s="225">
        <v>0</v>
      </c>
      <c r="E255" s="221">
        <v>17.25</v>
      </c>
      <c r="F255" s="203">
        <f t="shared" si="13"/>
        <v>0.4263470093919921</v>
      </c>
      <c r="G255" s="204">
        <f t="shared" si="14"/>
        <v>0.4263470093919921</v>
      </c>
      <c r="H255" s="205">
        <v>40.46</v>
      </c>
      <c r="I255" s="206">
        <v>3.7719528712704134E-2</v>
      </c>
      <c r="J255" s="207">
        <v>3.456229839247256E-2</v>
      </c>
      <c r="K255" s="210">
        <f t="shared" si="15"/>
        <v>231.69824956367975</v>
      </c>
      <c r="L255" s="212"/>
      <c r="M255" s="196"/>
      <c r="N255" s="196"/>
      <c r="O255" s="197"/>
      <c r="P255" s="196"/>
      <c r="Q255" s="196"/>
      <c r="R255" s="198"/>
    </row>
    <row r="256" spans="1:18" s="199" customFormat="1" ht="14.4" customHeight="1">
      <c r="A256" s="195"/>
      <c r="B256" s="218">
        <v>44805</v>
      </c>
      <c r="C256" s="210">
        <f t="shared" si="17"/>
        <v>17.099980940889377</v>
      </c>
      <c r="D256" s="225">
        <v>-1.9059110622868387E-5</v>
      </c>
      <c r="E256" s="222">
        <v>17.100000000000001</v>
      </c>
      <c r="F256" s="203">
        <f t="shared" si="13"/>
        <v>0.41768395068122566</v>
      </c>
      <c r="G256" s="204">
        <f t="shared" si="14"/>
        <v>0.41768441621885694</v>
      </c>
      <c r="H256" s="205">
        <v>40.94</v>
      </c>
      <c r="I256" s="206">
        <v>3.780959287632641E-2</v>
      </c>
      <c r="J256" s="207">
        <v>3.484669920874011E-2</v>
      </c>
      <c r="K256" s="210">
        <f t="shared" si="15"/>
        <v>228.49945637391272</v>
      </c>
      <c r="L256" s="212"/>
      <c r="M256" s="196"/>
      <c r="N256" s="196"/>
      <c r="O256" s="197"/>
      <c r="P256" s="196"/>
      <c r="Q256" s="196"/>
      <c r="R256" s="198"/>
    </row>
    <row r="257" spans="1:18" s="199" customFormat="1" ht="14.4" customHeight="1">
      <c r="A257" s="195"/>
      <c r="B257" s="218">
        <v>44835</v>
      </c>
      <c r="C257" s="210">
        <f t="shared" si="17"/>
        <v>16.809999999999999</v>
      </c>
      <c r="D257" s="225">
        <v>0</v>
      </c>
      <c r="E257" s="222">
        <v>16.809999999999999</v>
      </c>
      <c r="F257" s="203">
        <f t="shared" si="13"/>
        <v>0.40940087676570869</v>
      </c>
      <c r="G257" s="204">
        <f t="shared" si="14"/>
        <v>0.40940087676570869</v>
      </c>
      <c r="H257" s="205">
        <v>41.06</v>
      </c>
      <c r="I257" s="206">
        <v>3.8129142570975549E-2</v>
      </c>
      <c r="J257" s="207">
        <v>3.4230740736574776E-2</v>
      </c>
      <c r="K257" s="210">
        <f t="shared" si="15"/>
        <v>225.54470244442234</v>
      </c>
      <c r="L257" s="212"/>
      <c r="M257" s="196"/>
      <c r="N257" s="196"/>
      <c r="O257" s="197"/>
      <c r="P257" s="196"/>
      <c r="Q257" s="196"/>
      <c r="R257" s="198"/>
    </row>
    <row r="258" spans="1:18" s="199" customFormat="1" ht="14.4" customHeight="1">
      <c r="A258" s="195"/>
      <c r="B258" s="218">
        <v>44866</v>
      </c>
      <c r="C258" s="210">
        <f t="shared" si="17"/>
        <v>16.53</v>
      </c>
      <c r="D258" s="225">
        <v>0</v>
      </c>
      <c r="E258" s="222">
        <v>16.53</v>
      </c>
      <c r="F258" s="203">
        <f t="shared" si="13"/>
        <v>0.41588044380707984</v>
      </c>
      <c r="G258" s="204">
        <f t="shared" si="14"/>
        <v>0.41588044380707984</v>
      </c>
      <c r="H258" s="205">
        <v>39.747</v>
      </c>
      <c r="I258" s="206">
        <v>3.8208284005134062E-2</v>
      </c>
      <c r="J258" s="207">
        <v>3.353282923193044E-2</v>
      </c>
      <c r="K258" s="210">
        <f t="shared" si="15"/>
        <v>223.700789758989</v>
      </c>
      <c r="L258" s="212"/>
      <c r="M258" s="196"/>
      <c r="N258" s="196"/>
      <c r="O258" s="197"/>
      <c r="P258" s="196"/>
      <c r="Q258" s="196"/>
      <c r="R258" s="198"/>
    </row>
    <row r="259" spans="1:18" s="199" customFormat="1" ht="14.4" customHeight="1">
      <c r="A259" s="195"/>
      <c r="B259" s="148">
        <v>44896</v>
      </c>
      <c r="C259" s="210">
        <f t="shared" si="17"/>
        <v>16.37</v>
      </c>
      <c r="D259" s="225">
        <v>0</v>
      </c>
      <c r="E259" s="221">
        <v>16.37</v>
      </c>
      <c r="F259" s="203">
        <f t="shared" si="13"/>
        <v>0.41877718086467125</v>
      </c>
      <c r="G259" s="204">
        <f t="shared" si="14"/>
        <v>0.41877718086467125</v>
      </c>
      <c r="H259" s="205">
        <v>39.090000000000003</v>
      </c>
      <c r="I259" s="206">
        <v>3.7937810625208311E-2</v>
      </c>
      <c r="J259" s="207">
        <v>3.3147505790751756E-2</v>
      </c>
      <c r="K259" s="210">
        <f t="shared" si="15"/>
        <v>223.57928029039209</v>
      </c>
      <c r="L259" s="212"/>
      <c r="M259" s="196"/>
      <c r="N259" s="196"/>
      <c r="O259" s="197"/>
      <c r="P259" s="196"/>
      <c r="Q259" s="196"/>
      <c r="R259" s="198"/>
    </row>
    <row r="260" spans="1:18" s="199" customFormat="1" ht="14.4" customHeight="1">
      <c r="A260" s="195"/>
      <c r="B260" s="226">
        <v>44927</v>
      </c>
      <c r="C260" s="227">
        <f t="shared" si="17"/>
        <v>16.57</v>
      </c>
      <c r="D260" s="228">
        <v>0</v>
      </c>
      <c r="E260" s="229">
        <v>16.57</v>
      </c>
      <c r="F260" s="230">
        <f t="shared" si="13"/>
        <v>0.42070786573909508</v>
      </c>
      <c r="G260" s="231">
        <f t="shared" si="14"/>
        <v>0.42070786573909508</v>
      </c>
      <c r="H260" s="232">
        <v>39.386000000000003</v>
      </c>
      <c r="I260" s="233">
        <v>3.8086888273059456E-2</v>
      </c>
      <c r="J260" s="234">
        <v>3.3854878561984929E-2</v>
      </c>
      <c r="K260" s="235">
        <f t="shared" si="15"/>
        <v>223.61667427022641</v>
      </c>
      <c r="L260" s="239"/>
      <c r="M260" s="196"/>
      <c r="N260" s="196"/>
      <c r="O260" s="197"/>
      <c r="P260" s="196"/>
      <c r="Q260" s="196"/>
      <c r="R260" s="198"/>
    </row>
    <row r="261" spans="1:18" s="199" customFormat="1" ht="14.4" customHeight="1">
      <c r="A261" s="195"/>
      <c r="B261" s="236">
        <v>44958</v>
      </c>
      <c r="C261" s="210">
        <f t="shared" si="17"/>
        <v>16.95</v>
      </c>
      <c r="D261" s="225">
        <v>0</v>
      </c>
      <c r="E261" s="222">
        <v>16.95</v>
      </c>
      <c r="F261" s="203">
        <f t="shared" si="13"/>
        <v>0.43430357691913496</v>
      </c>
      <c r="G261" s="204">
        <f t="shared" si="14"/>
        <v>0.43430357691913496</v>
      </c>
      <c r="H261" s="205">
        <v>39.027999999999999</v>
      </c>
      <c r="I261" s="206">
        <v>3.9066822242545582E-2</v>
      </c>
      <c r="J261" s="207">
        <v>3.4603604577321291E-2</v>
      </c>
      <c r="K261" s="238">
        <f t="shared" si="15"/>
        <v>223.37743094456781</v>
      </c>
      <c r="L261" s="240"/>
      <c r="M261" s="196"/>
      <c r="N261" s="196"/>
      <c r="O261" s="197"/>
      <c r="P261" s="196"/>
      <c r="Q261" s="196"/>
      <c r="R261" s="198"/>
    </row>
    <row r="262" spans="1:18" s="199" customFormat="1" ht="14.4" customHeight="1">
      <c r="A262" s="195"/>
      <c r="B262" s="236">
        <v>44986</v>
      </c>
      <c r="C262" s="210">
        <f t="shared" si="17"/>
        <v>17.200016658349792</v>
      </c>
      <c r="D262" s="225">
        <v>1.6658349792239802E-5</v>
      </c>
      <c r="E262" s="222">
        <v>17.2</v>
      </c>
      <c r="F262" s="203">
        <f t="shared" si="13"/>
        <v>0.43976315857920312</v>
      </c>
      <c r="G262" s="204">
        <f t="shared" si="14"/>
        <v>0.43976273266516669</v>
      </c>
      <c r="H262" s="205">
        <v>39.112000000000002</v>
      </c>
      <c r="I262" s="206">
        <v>3.9823790558037753E-2</v>
      </c>
      <c r="J262" s="207">
        <v>3.4908895718183959E-2</v>
      </c>
      <c r="K262" s="238">
        <f t="shared" si="15"/>
        <v>223.45035527890556</v>
      </c>
      <c r="L262" s="240"/>
      <c r="M262" s="196"/>
      <c r="N262" s="196"/>
      <c r="O262" s="197"/>
      <c r="P262" s="196"/>
      <c r="Q262" s="196"/>
      <c r="R262" s="198"/>
    </row>
    <row r="263" spans="1:18" s="199" customFormat="1" ht="14.4" customHeight="1">
      <c r="A263" s="195"/>
      <c r="B263" s="236">
        <v>45017</v>
      </c>
      <c r="C263" s="210">
        <f t="shared" si="17"/>
        <v>17.630013599253441</v>
      </c>
      <c r="D263" s="225">
        <v>1.3599253442915407E-5</v>
      </c>
      <c r="E263" s="222">
        <v>17.63</v>
      </c>
      <c r="F263" s="203">
        <f t="shared" si="13"/>
        <v>0.45461613200756679</v>
      </c>
      <c r="G263" s="204">
        <f t="shared" si="14"/>
        <v>0.45461578133058272</v>
      </c>
      <c r="H263" s="205">
        <v>38.78</v>
      </c>
      <c r="I263" s="206">
        <v>4.0471918061096179E-2</v>
      </c>
      <c r="J263" s="207">
        <v>3.5734123255110196E-2</v>
      </c>
      <c r="K263" s="238">
        <f t="shared" si="15"/>
        <v>224.60841374117575</v>
      </c>
      <c r="L263" s="240"/>
      <c r="M263" s="196"/>
      <c r="N263" s="196"/>
      <c r="O263" s="197"/>
      <c r="P263" s="196"/>
      <c r="Q263" s="196"/>
      <c r="R263" s="198"/>
    </row>
    <row r="264" spans="1:18" ht="14.4" customHeight="1">
      <c r="A264" s="6"/>
      <c r="B264" s="236">
        <v>45047</v>
      </c>
      <c r="C264" s="210">
        <f t="shared" si="17"/>
        <v>17.61</v>
      </c>
      <c r="D264" s="225">
        <v>0</v>
      </c>
      <c r="E264" s="222">
        <v>17.61</v>
      </c>
      <c r="F264" s="203">
        <f t="shared" ref="F264:F301" si="18">C264/H264</f>
        <v>0.45315354725817658</v>
      </c>
      <c r="G264" s="204">
        <f t="shared" ref="G264:G303" si="19">E264/H264</f>
        <v>0.45315354725817658</v>
      </c>
      <c r="H264" s="205">
        <v>38.860999999999997</v>
      </c>
      <c r="I264" s="206">
        <v>4.0360352992275243E-2</v>
      </c>
      <c r="J264" s="207">
        <v>3.5570920829075259E-2</v>
      </c>
      <c r="K264" s="238">
        <f t="shared" ref="K264:K268" si="20">C264/1.03/(I264+J264)</f>
        <v>225.16529116667317</v>
      </c>
      <c r="L264" s="241"/>
      <c r="M264" s="7"/>
      <c r="N264" s="7"/>
      <c r="O264" s="18"/>
      <c r="P264" s="7"/>
      <c r="Q264" s="7"/>
      <c r="R264" s="90"/>
    </row>
    <row r="265" spans="1:18" ht="14.4" customHeight="1">
      <c r="A265" s="6"/>
      <c r="B265" s="236">
        <v>45078</v>
      </c>
      <c r="C265" s="210">
        <f t="shared" si="17"/>
        <v>17.38</v>
      </c>
      <c r="D265" s="225">
        <v>0</v>
      </c>
      <c r="E265" s="222">
        <v>17.38</v>
      </c>
      <c r="F265" s="203">
        <f t="shared" si="18"/>
        <v>0.45497382198952874</v>
      </c>
      <c r="G265" s="204">
        <f t="shared" si="19"/>
        <v>0.45497382198952874</v>
      </c>
      <c r="H265" s="205">
        <v>38.200000000000003</v>
      </c>
      <c r="I265" s="206">
        <v>3.9404605642476671E-2</v>
      </c>
      <c r="J265" s="207">
        <v>3.5402974904770575E-2</v>
      </c>
      <c r="K265" s="238">
        <f t="shared" si="20"/>
        <v>225.56252032653003</v>
      </c>
      <c r="L265" s="241"/>
      <c r="M265" s="7"/>
      <c r="N265" s="7"/>
      <c r="O265" s="18"/>
      <c r="P265" s="7"/>
      <c r="Q265" s="7"/>
      <c r="R265" s="90"/>
    </row>
    <row r="266" spans="1:18" ht="14.4" customHeight="1">
      <c r="A266" s="6"/>
      <c r="B266" s="236">
        <v>45108</v>
      </c>
      <c r="C266" s="210">
        <f t="shared" si="17"/>
        <v>17.399999999999999</v>
      </c>
      <c r="D266" s="243">
        <v>0</v>
      </c>
      <c r="E266" s="244">
        <v>17.399999999999999</v>
      </c>
      <c r="F266" s="203">
        <f t="shared" si="18"/>
        <v>0.45922406967537605</v>
      </c>
      <c r="G266" s="204">
        <f t="shared" si="19"/>
        <v>0.45922406967537605</v>
      </c>
      <c r="H266" s="245">
        <v>37.89</v>
      </c>
      <c r="I266" s="246">
        <v>3.9659274918383995E-2</v>
      </c>
      <c r="J266" s="247">
        <v>3.5283211258000054E-2</v>
      </c>
      <c r="K266" s="248">
        <f t="shared" si="20"/>
        <v>225.41557860431038</v>
      </c>
      <c r="L266" s="241"/>
      <c r="M266" s="7"/>
      <c r="N266" s="7"/>
      <c r="O266" s="18"/>
      <c r="P266" s="7"/>
      <c r="Q266" s="7"/>
      <c r="R266" s="90"/>
    </row>
    <row r="267" spans="1:18" ht="14.4" customHeight="1">
      <c r="A267" s="6"/>
      <c r="B267" s="236">
        <v>45139</v>
      </c>
      <c r="C267" s="338">
        <f t="shared" si="17"/>
        <v>14.422481272119411</v>
      </c>
      <c r="D267" s="243">
        <v>0.14248127211941172</v>
      </c>
      <c r="E267" s="244">
        <v>14.28</v>
      </c>
      <c r="F267" s="203">
        <f t="shared" si="18"/>
        <v>0.38103303141579908</v>
      </c>
      <c r="G267" s="204">
        <f t="shared" si="19"/>
        <v>0.37726876436553858</v>
      </c>
      <c r="H267" s="245">
        <v>37.850999999999999</v>
      </c>
      <c r="I267" s="246">
        <v>3.8801494243189537E-2</v>
      </c>
      <c r="J267" s="247">
        <v>3.5637915872836587E-2</v>
      </c>
      <c r="K267" s="248">
        <f t="shared" si="20"/>
        <v>188.10478186531319</v>
      </c>
      <c r="L267" s="241" t="s">
        <v>93</v>
      </c>
      <c r="M267" s="7"/>
      <c r="N267" s="7"/>
      <c r="O267" s="18"/>
      <c r="P267" s="7"/>
      <c r="Q267" s="7"/>
      <c r="R267" s="90"/>
    </row>
    <row r="268" spans="1:18" ht="14.4" customHeight="1">
      <c r="A268" s="6"/>
      <c r="B268" s="236">
        <v>45170</v>
      </c>
      <c r="C268" s="338">
        <f t="shared" si="17"/>
        <v>14.304367760737883</v>
      </c>
      <c r="D268" s="243">
        <v>0.14436776073788318</v>
      </c>
      <c r="E268" s="244">
        <v>14.16</v>
      </c>
      <c r="F268" s="203">
        <f t="shared" si="18"/>
        <v>0.37498997957159025</v>
      </c>
      <c r="G268" s="204">
        <f t="shared" si="19"/>
        <v>0.37120536884601268</v>
      </c>
      <c r="H268" s="245">
        <v>38.146000000000001</v>
      </c>
      <c r="I268" s="246">
        <v>3.8803509951225335E-2</v>
      </c>
      <c r="J268" s="247">
        <v>3.5896594530447648E-2</v>
      </c>
      <c r="K268" s="248">
        <f t="shared" si="20"/>
        <v>185.91320301893305</v>
      </c>
      <c r="L268" s="241" t="s">
        <v>93</v>
      </c>
      <c r="M268" s="7"/>
      <c r="N268" s="7"/>
      <c r="O268" s="18"/>
      <c r="P268" s="7"/>
      <c r="Q268" s="7"/>
      <c r="R268" s="90"/>
    </row>
    <row r="269" spans="1:18" ht="14.4" customHeight="1">
      <c r="A269" s="6"/>
      <c r="B269" s="236">
        <v>45200</v>
      </c>
      <c r="C269" s="338">
        <f t="shared" si="17"/>
        <v>14.58323079133924</v>
      </c>
      <c r="D269" s="225">
        <v>0.14323079133924047</v>
      </c>
      <c r="E269" s="249">
        <v>14.44</v>
      </c>
      <c r="F269" s="203">
        <f t="shared" si="18"/>
        <v>0.36691988404426318</v>
      </c>
      <c r="G269" s="204">
        <f t="shared" si="19"/>
        <v>0.36331614039501825</v>
      </c>
      <c r="H269" s="205">
        <v>39.744999999999997</v>
      </c>
      <c r="I269" s="206">
        <v>3.865581346345532E-2</v>
      </c>
      <c r="J269" s="207">
        <v>3.5075274685827135E-2</v>
      </c>
      <c r="K269" s="238">
        <v>190.76195070245981</v>
      </c>
      <c r="L269" s="241" t="s">
        <v>93</v>
      </c>
      <c r="M269" s="7"/>
      <c r="N269" s="7"/>
      <c r="O269" s="18"/>
      <c r="P269" s="7"/>
      <c r="Q269" s="7"/>
      <c r="R269" s="90"/>
    </row>
    <row r="270" spans="1:18" ht="14.4" customHeight="1">
      <c r="A270" s="6"/>
      <c r="B270" s="236">
        <v>45231</v>
      </c>
      <c r="C270" s="338">
        <f t="shared" si="17"/>
        <v>14.402061302575852</v>
      </c>
      <c r="D270" s="225">
        <v>0.14206130257585231</v>
      </c>
      <c r="E270" s="249">
        <v>14.26</v>
      </c>
      <c r="F270" s="203">
        <f t="shared" si="18"/>
        <v>0.36411093603579536</v>
      </c>
      <c r="G270" s="204">
        <f t="shared" si="19"/>
        <v>0.3605193616931624</v>
      </c>
      <c r="H270" s="205">
        <v>39.554047619047623</v>
      </c>
      <c r="I270" s="206">
        <v>3.8229507146367324E-2</v>
      </c>
      <c r="J270" s="207">
        <v>3.4547912831612973E-2</v>
      </c>
      <c r="K270" s="238">
        <f t="shared" ref="K270:K304" si="21">C270/1.03/(I270+J270)</f>
        <v>192.128050061945</v>
      </c>
      <c r="L270" s="241" t="s">
        <v>93</v>
      </c>
      <c r="M270" s="7"/>
      <c r="N270" s="7"/>
      <c r="O270" s="18"/>
      <c r="P270" s="7"/>
      <c r="Q270" s="7"/>
      <c r="R270" s="90"/>
    </row>
    <row r="271" spans="1:18" ht="14.4" customHeight="1">
      <c r="A271" s="6"/>
      <c r="B271" s="237">
        <v>45261</v>
      </c>
      <c r="C271" s="250">
        <f t="shared" si="17"/>
        <v>14.07</v>
      </c>
      <c r="D271" s="251">
        <v>0</v>
      </c>
      <c r="E271" s="252">
        <v>14.07</v>
      </c>
      <c r="F271" s="253">
        <f t="shared" si="18"/>
        <v>0.35798793985191973</v>
      </c>
      <c r="G271" s="254">
        <f t="shared" si="19"/>
        <v>0.35798793985191973</v>
      </c>
      <c r="H271" s="255">
        <v>39.302999999999997</v>
      </c>
      <c r="I271" s="256">
        <v>3.8312584380668563E-2</v>
      </c>
      <c r="J271" s="257">
        <v>3.3991968749184961E-2</v>
      </c>
      <c r="K271" s="258">
        <f t="shared" si="21"/>
        <v>188.9257810669904</v>
      </c>
      <c r="L271" s="242"/>
      <c r="M271" s="7"/>
      <c r="N271" s="7"/>
      <c r="O271" s="18"/>
      <c r="P271" s="7"/>
      <c r="Q271" s="7"/>
      <c r="R271" s="90"/>
    </row>
    <row r="272" spans="1:18" ht="14.4" customHeight="1">
      <c r="A272" s="6"/>
      <c r="B272" s="236">
        <v>45292</v>
      </c>
      <c r="C272" s="249">
        <f t="shared" si="17"/>
        <v>14.202466787634474</v>
      </c>
      <c r="D272" s="225">
        <v>2.4667876344748397E-3</v>
      </c>
      <c r="E272" s="249">
        <v>14.2</v>
      </c>
      <c r="F272" s="203">
        <f t="shared" si="18"/>
        <v>0.36287250025893542</v>
      </c>
      <c r="G272" s="204">
        <f t="shared" si="19"/>
        <v>0.36280947392626278</v>
      </c>
      <c r="H272" s="205">
        <v>39.139000000000003</v>
      </c>
      <c r="I272" s="206">
        <v>3.8725127208630042E-2</v>
      </c>
      <c r="J272" s="207">
        <v>3.4232338478782175E-2</v>
      </c>
      <c r="K272" s="238">
        <f t="shared" si="21"/>
        <v>188.99783012638693</v>
      </c>
      <c r="L272" s="259"/>
      <c r="M272" s="7"/>
      <c r="N272" s="7"/>
      <c r="O272" s="18"/>
      <c r="P272" s="7"/>
      <c r="Q272" s="7"/>
      <c r="R272" s="90"/>
    </row>
    <row r="273" spans="1:18" ht="14.4" customHeight="1">
      <c r="A273" s="6"/>
      <c r="B273" s="236">
        <v>45323</v>
      </c>
      <c r="C273" s="335">
        <f t="shared" si="17"/>
        <v>15.434719101666696</v>
      </c>
      <c r="D273" s="225">
        <f>0.444719101666695</f>
        <v>0.44471910166669498</v>
      </c>
      <c r="E273" s="249">
        <v>14.99</v>
      </c>
      <c r="F273" s="203">
        <f t="shared" si="18"/>
        <v>0.39465900692082884</v>
      </c>
      <c r="G273" s="204">
        <f t="shared" si="19"/>
        <v>0.38328773428111174</v>
      </c>
      <c r="H273" s="205">
        <v>39.109000000000002</v>
      </c>
      <c r="I273" s="206">
        <v>3.9158552200166834E-2</v>
      </c>
      <c r="J273" s="207">
        <v>3.4866254381940347E-2</v>
      </c>
      <c r="K273" s="238">
        <f t="shared" si="21"/>
        <v>202.43435772782627</v>
      </c>
      <c r="L273" s="263" t="s">
        <v>99</v>
      </c>
      <c r="M273" s="7"/>
      <c r="N273" s="7"/>
      <c r="O273" s="18"/>
      <c r="P273" s="7"/>
      <c r="Q273" s="7"/>
      <c r="R273" s="90"/>
    </row>
    <row r="274" spans="1:18" ht="14.4" customHeight="1">
      <c r="A274" s="6"/>
      <c r="B274" s="236">
        <v>45352</v>
      </c>
      <c r="C274" s="335">
        <f t="shared" si="17"/>
        <v>16.136467771275814</v>
      </c>
      <c r="D274" s="225">
        <f>0.446467771275814</f>
        <v>0.446467771275814</v>
      </c>
      <c r="E274" s="249">
        <v>15.69</v>
      </c>
      <c r="F274" s="203">
        <f t="shared" si="18"/>
        <v>0.41999083239051077</v>
      </c>
      <c r="G274" s="204">
        <f t="shared" si="19"/>
        <v>0.40837042242523619</v>
      </c>
      <c r="H274" s="205">
        <v>38.420999999999999</v>
      </c>
      <c r="I274" s="206">
        <v>4.0708798207810329E-2</v>
      </c>
      <c r="J274" s="207">
        <v>3.6245651001891595E-2</v>
      </c>
      <c r="K274" s="238">
        <f t="shared" si="21"/>
        <v>203.58112786505814</v>
      </c>
      <c r="L274" s="263" t="s">
        <v>99</v>
      </c>
      <c r="M274" s="7"/>
      <c r="N274" s="7"/>
      <c r="O274" s="18"/>
      <c r="P274" s="7"/>
      <c r="Q274" s="7"/>
      <c r="R274" s="90"/>
    </row>
    <row r="275" spans="1:18" ht="14.4" customHeight="1">
      <c r="A275" s="6"/>
      <c r="B275" s="236">
        <v>45383</v>
      </c>
      <c r="C275" s="335">
        <f t="shared" si="17"/>
        <v>16.291173494065244</v>
      </c>
      <c r="D275" s="225">
        <v>0.45117349406524504</v>
      </c>
      <c r="E275" s="249">
        <v>15.84</v>
      </c>
      <c r="F275" s="203">
        <f t="shared" si="18"/>
        <v>0.42337829709881353</v>
      </c>
      <c r="G275" s="204">
        <f t="shared" si="19"/>
        <v>0.41165310948829231</v>
      </c>
      <c r="H275" s="205">
        <v>38.478999999999999</v>
      </c>
      <c r="I275" s="206">
        <v>4.1577304064527941E-2</v>
      </c>
      <c r="J275" s="207">
        <v>3.6383641863319723E-2</v>
      </c>
      <c r="K275" s="238">
        <f t="shared" si="21"/>
        <v>202.87944312331973</v>
      </c>
      <c r="L275" s="263" t="s">
        <v>99</v>
      </c>
      <c r="M275" s="7"/>
      <c r="N275" s="7"/>
      <c r="O275" s="18"/>
      <c r="P275" s="7"/>
      <c r="Q275" s="7"/>
      <c r="R275" s="90"/>
    </row>
    <row r="276" spans="1:18" ht="14.4" customHeight="1">
      <c r="A276" s="6"/>
      <c r="B276" s="236">
        <v>45413</v>
      </c>
      <c r="C276" s="335">
        <f t="shared" si="17"/>
        <v>16.307808885434902</v>
      </c>
      <c r="D276" s="225">
        <v>0.45780888543490289</v>
      </c>
      <c r="E276" s="249">
        <v>15.85</v>
      </c>
      <c r="F276" s="203">
        <f t="shared" si="18"/>
        <v>0.42340349167709268</v>
      </c>
      <c r="G276" s="204">
        <f t="shared" si="19"/>
        <v>0.41151729151521449</v>
      </c>
      <c r="H276" s="205">
        <v>38.515999999999998</v>
      </c>
      <c r="I276" s="206">
        <v>4.1705038522421134E-2</v>
      </c>
      <c r="J276" s="207">
        <v>3.6336935266778052E-2</v>
      </c>
      <c r="K276" s="238">
        <f t="shared" si="21"/>
        <v>202.8757525198271</v>
      </c>
      <c r="L276" s="263" t="s">
        <v>99</v>
      </c>
      <c r="M276" s="7"/>
      <c r="N276" s="7"/>
      <c r="O276" s="18"/>
      <c r="P276" s="7"/>
      <c r="Q276" s="7"/>
      <c r="R276" s="90"/>
    </row>
    <row r="277" spans="1:18" ht="14.4" customHeight="1">
      <c r="A277" s="6"/>
      <c r="B277" s="236">
        <v>45444</v>
      </c>
      <c r="C277" s="249">
        <f>E277</f>
        <v>15.35</v>
      </c>
      <c r="D277" s="225">
        <v>0</v>
      </c>
      <c r="E277" s="249">
        <v>15.35</v>
      </c>
      <c r="F277" s="203">
        <f t="shared" si="18"/>
        <v>0.39090353468473055</v>
      </c>
      <c r="G277" s="204">
        <f t="shared" si="19"/>
        <v>0.39090353468473055</v>
      </c>
      <c r="H277" s="205">
        <v>39.268000000000001</v>
      </c>
      <c r="I277" s="206">
        <v>4.1524812551007546E-2</v>
      </c>
      <c r="J277" s="207">
        <v>3.6280527436353432E-2</v>
      </c>
      <c r="K277" s="238">
        <f t="shared" si="21"/>
        <v>191.54099993368212</v>
      </c>
      <c r="L277" s="241"/>
      <c r="M277" s="7"/>
      <c r="N277" s="7"/>
      <c r="O277" s="18"/>
      <c r="P277" s="7"/>
      <c r="Q277" s="7"/>
      <c r="R277" s="90"/>
    </row>
    <row r="278" spans="1:18" ht="14.4" customHeight="1">
      <c r="A278" s="6"/>
      <c r="B278" s="236">
        <v>45474</v>
      </c>
      <c r="C278" s="335">
        <f t="shared" si="17"/>
        <v>16.048750103626539</v>
      </c>
      <c r="D278" s="225">
        <v>0.69875010362654011</v>
      </c>
      <c r="E278" s="249">
        <v>15.35</v>
      </c>
      <c r="F278" s="203">
        <f t="shared" si="18"/>
        <v>0.39960037108775803</v>
      </c>
      <c r="G278" s="204">
        <f t="shared" si="19"/>
        <v>0.38220208156964297</v>
      </c>
      <c r="H278" s="205">
        <v>40.161999999999999</v>
      </c>
      <c r="I278" s="206">
        <v>3.8876285684415007E-2</v>
      </c>
      <c r="J278" s="207">
        <v>3.5663429757588849E-2</v>
      </c>
      <c r="K278" s="238">
        <f t="shared" si="21"/>
        <v>209.03367671618076</v>
      </c>
      <c r="L278" s="263" t="s">
        <v>98</v>
      </c>
      <c r="M278" s="7"/>
      <c r="N278" s="7"/>
      <c r="O278" s="18"/>
      <c r="P278" s="7"/>
      <c r="Q278" s="7"/>
      <c r="R278" s="90"/>
    </row>
    <row r="279" spans="1:18" s="199" customFormat="1" ht="14.4" customHeight="1">
      <c r="A279" s="195"/>
      <c r="B279" s="236">
        <v>45505</v>
      </c>
      <c r="C279" s="335">
        <f t="shared" si="17"/>
        <v>16.257094942730532</v>
      </c>
      <c r="D279" s="225">
        <f>0.838698726322594+0.0949915635205971+0.0934046528873418</f>
        <v>1.0270949427305329</v>
      </c>
      <c r="E279" s="249">
        <v>15.23</v>
      </c>
      <c r="F279" s="203">
        <f t="shared" si="18"/>
        <v>0.40306180747584003</v>
      </c>
      <c r="G279" s="204">
        <f t="shared" si="19"/>
        <v>0.37759706451133035</v>
      </c>
      <c r="H279" s="205">
        <v>40.334000000000003</v>
      </c>
      <c r="I279" s="206">
        <v>3.8392180159529034E-2</v>
      </c>
      <c r="J279" s="207">
        <v>3.5451462926719302E-2</v>
      </c>
      <c r="K279" s="238">
        <f t="shared" si="21"/>
        <v>213.74334557958286</v>
      </c>
      <c r="L279" s="263" t="s">
        <v>102</v>
      </c>
      <c r="M279" s="196"/>
      <c r="N279" s="196"/>
      <c r="O279" s="197"/>
      <c r="P279" s="196"/>
      <c r="Q279" s="196"/>
      <c r="R279" s="198"/>
    </row>
    <row r="280" spans="1:18" s="199" customFormat="1" ht="14.4" customHeight="1">
      <c r="A280" s="195"/>
      <c r="B280" s="236">
        <v>45536</v>
      </c>
      <c r="C280" s="335">
        <f t="shared" si="17"/>
        <v>16.555598977904481</v>
      </c>
      <c r="D280" s="225">
        <f>0.836159517806744+0.0955175791228022+0.0939218809749354</f>
        <v>1.0255989779044816</v>
      </c>
      <c r="E280" s="249">
        <v>15.53</v>
      </c>
      <c r="F280" s="203">
        <f t="shared" si="18"/>
        <v>0.40281262719962241</v>
      </c>
      <c r="G280" s="204">
        <f t="shared" si="19"/>
        <v>0.37785888077858876</v>
      </c>
      <c r="H280" s="205">
        <v>41.1</v>
      </c>
      <c r="I280" s="206">
        <v>3.826170998141476E-2</v>
      </c>
      <c r="J280" s="207">
        <v>3.5383431538519902E-2</v>
      </c>
      <c r="K280" s="238">
        <f t="shared" si="21"/>
        <v>218.25468366539627</v>
      </c>
      <c r="L280" s="263" t="s">
        <v>103</v>
      </c>
      <c r="M280" s="196"/>
      <c r="N280" s="196"/>
      <c r="O280" s="197"/>
      <c r="P280" s="196"/>
      <c r="Q280" s="196"/>
      <c r="R280" s="198"/>
    </row>
    <row r="281" spans="1:18" s="199" customFormat="1" ht="14.4" customHeight="1">
      <c r="A281" s="195"/>
      <c r="B281" s="236">
        <v>45566</v>
      </c>
      <c r="C281" s="335">
        <f t="shared" si="17"/>
        <v>16.268556828232569</v>
      </c>
      <c r="D281" s="225">
        <f>0.838805682834601+0.0956747344763428+0.0940764109216256</f>
        <v>1.0285568282325694</v>
      </c>
      <c r="E281" s="249">
        <v>15.24</v>
      </c>
      <c r="F281" s="203">
        <f t="shared" si="18"/>
        <v>0.3915416805832147</v>
      </c>
      <c r="G281" s="204">
        <f t="shared" si="19"/>
        <v>0.36678700361010835</v>
      </c>
      <c r="H281" s="205">
        <v>41.55</v>
      </c>
      <c r="I281" s="206">
        <v>3.7466590450104913E-2</v>
      </c>
      <c r="J281" s="207">
        <v>3.4799365700196851E-2</v>
      </c>
      <c r="K281" s="238">
        <f t="shared" si="21"/>
        <v>218.56370839909147</v>
      </c>
      <c r="L281" s="263" t="s">
        <v>104</v>
      </c>
      <c r="M281" s="196"/>
      <c r="N281" s="196"/>
      <c r="O281" s="197"/>
      <c r="P281" s="196"/>
      <c r="Q281" s="196"/>
      <c r="R281" s="198"/>
    </row>
    <row r="282" spans="1:18" s="199" customFormat="1" ht="14.4" customHeight="1">
      <c r="A282" s="195"/>
      <c r="B282" s="236">
        <v>45597</v>
      </c>
      <c r="C282" s="336">
        <f t="shared" si="17"/>
        <v>16.591860867115837</v>
      </c>
      <c r="D282" s="225">
        <f>0.384279556238129+0.0945806786742134+0.0930006322034963</f>
        <v>0.57186086711583872</v>
      </c>
      <c r="E282" s="249">
        <v>16.02</v>
      </c>
      <c r="F282" s="203">
        <f t="shared" si="18"/>
        <v>0.39066329653447857</v>
      </c>
      <c r="G282" s="204">
        <f t="shared" si="19"/>
        <v>0.37719855901674088</v>
      </c>
      <c r="H282" s="205">
        <v>42.470999999999997</v>
      </c>
      <c r="I282" s="206">
        <v>3.7466723295477539E-2</v>
      </c>
      <c r="J282" s="207">
        <v>3.4179323235812006E-2</v>
      </c>
      <c r="K282" s="238">
        <f t="shared" si="21"/>
        <v>224.83589204845512</v>
      </c>
      <c r="L282" s="263" t="s">
        <v>105</v>
      </c>
      <c r="M282" s="196"/>
      <c r="N282" s="196"/>
      <c r="O282" s="197"/>
      <c r="P282" s="196"/>
      <c r="Q282" s="196"/>
      <c r="R282" s="198"/>
    </row>
    <row r="283" spans="1:18" s="199" customFormat="1" ht="14.4" customHeight="1">
      <c r="A283" s="195"/>
      <c r="B283" s="236">
        <v>45627</v>
      </c>
      <c r="C283" s="336">
        <f t="shared" si="17"/>
        <v>17.254154066110118</v>
      </c>
      <c r="D283" s="225">
        <f>0.566933052419144+0.0943990126420995+0.0928220010488745</f>
        <v>0.75415406611011804</v>
      </c>
      <c r="E283" s="249">
        <v>16.5</v>
      </c>
      <c r="F283" s="203">
        <f t="shared" si="18"/>
        <v>0.3920596711152291</v>
      </c>
      <c r="G283" s="204">
        <f t="shared" si="19"/>
        <v>0.37492331114090299</v>
      </c>
      <c r="H283" s="205">
        <v>44.009</v>
      </c>
      <c r="I283" s="206">
        <v>3.8215322853428969E-2</v>
      </c>
      <c r="J283" s="207">
        <v>3.4887538668535875E-2</v>
      </c>
      <c r="K283" s="238">
        <f t="shared" si="21"/>
        <v>229.15116509350361</v>
      </c>
      <c r="L283" s="263" t="s">
        <v>106</v>
      </c>
      <c r="M283" s="196"/>
      <c r="N283" s="196"/>
      <c r="O283" s="197"/>
      <c r="P283" s="196"/>
      <c r="Q283" s="196"/>
      <c r="R283" s="198"/>
    </row>
    <row r="284" spans="1:18" s="199" customFormat="1" ht="14.4" customHeight="1">
      <c r="A284" s="195"/>
      <c r="B284" s="226">
        <v>45658</v>
      </c>
      <c r="C284" s="337">
        <f t="shared" si="17"/>
        <v>18.134875224364666</v>
      </c>
      <c r="D284" s="228">
        <f>0.482523000428033+0.600672949706147+0.0916048031509924+0.0900744710794916</f>
        <v>1.2648752243646642</v>
      </c>
      <c r="E284" s="277">
        <v>16.87</v>
      </c>
      <c r="F284" s="230">
        <f t="shared" si="18"/>
        <v>0.41508068721365682</v>
      </c>
      <c r="G284" s="231">
        <f t="shared" si="19"/>
        <v>0.38612954909590297</v>
      </c>
      <c r="H284" s="232">
        <v>43.69</v>
      </c>
      <c r="I284" s="233">
        <v>3.8773369650315193E-2</v>
      </c>
      <c r="J284" s="234">
        <v>3.5085168773639756E-2</v>
      </c>
      <c r="K284" s="235">
        <f t="shared" si="21"/>
        <v>238.3837448020885</v>
      </c>
      <c r="L284" s="278" t="s">
        <v>107</v>
      </c>
      <c r="M284" s="196"/>
      <c r="N284" s="196"/>
      <c r="O284" s="197"/>
      <c r="P284" s="196"/>
      <c r="Q284" s="196"/>
      <c r="R284" s="198"/>
    </row>
    <row r="285" spans="1:18" s="199" customFormat="1" ht="14.4" customHeight="1">
      <c r="A285" s="195"/>
      <c r="B285" s="236">
        <v>45689</v>
      </c>
      <c r="C285" s="336">
        <f t="shared" si="17"/>
        <v>18.055108499168696</v>
      </c>
      <c r="D285" s="225">
        <f>0.0459622254675677+0.590533709554541+0.0900585322582547+0.0885540318883349</f>
        <v>0.81510849916869821</v>
      </c>
      <c r="E285" s="249">
        <v>17.239999999999998</v>
      </c>
      <c r="F285" s="203">
        <f t="shared" si="18"/>
        <v>0.4187468631669341</v>
      </c>
      <c r="G285" s="204">
        <f t="shared" si="19"/>
        <v>0.39984228958415474</v>
      </c>
      <c r="H285" s="205">
        <v>43.116999999999997</v>
      </c>
      <c r="I285" s="206">
        <v>4.0027431776091062E-2</v>
      </c>
      <c r="J285" s="207">
        <v>3.5620325139941712E-2</v>
      </c>
      <c r="K285" s="238">
        <f t="shared" si="21"/>
        <v>231.72176237886342</v>
      </c>
      <c r="L285" s="263" t="s">
        <v>108</v>
      </c>
      <c r="M285" s="196"/>
      <c r="N285" s="196"/>
      <c r="O285" s="197"/>
      <c r="P285" s="196"/>
      <c r="Q285" s="196"/>
      <c r="R285" s="198"/>
    </row>
    <row r="286" spans="1:18" s="199" customFormat="1" ht="14.4" customHeight="1">
      <c r="A286" s="195"/>
      <c r="B286" s="236">
        <v>45717</v>
      </c>
      <c r="C286" s="336">
        <f t="shared" si="17"/>
        <v>18.381820583265164</v>
      </c>
      <c r="D286" s="225">
        <f>0.592586986026578+0.0903716643663802+0.088861932872205</f>
        <v>0.77182058326516323</v>
      </c>
      <c r="E286" s="249">
        <v>17.61</v>
      </c>
      <c r="F286" s="203">
        <f t="shared" si="18"/>
        <v>0.43485653481737274</v>
      </c>
      <c r="G286" s="204">
        <f t="shared" si="19"/>
        <v>0.41659766743157245</v>
      </c>
      <c r="H286" s="205">
        <v>42.271000000000001</v>
      </c>
      <c r="I286" s="206">
        <v>4.080600372962493E-2</v>
      </c>
      <c r="J286" s="207">
        <v>3.6430504890503493E-2</v>
      </c>
      <c r="K286" s="238">
        <f t="shared" si="21"/>
        <v>231.06207245224908</v>
      </c>
      <c r="L286" s="263" t="s">
        <v>109</v>
      </c>
      <c r="M286" s="196"/>
      <c r="N286" s="196"/>
      <c r="O286" s="197"/>
      <c r="P286" s="196"/>
      <c r="Q286" s="196"/>
      <c r="R286" s="198"/>
    </row>
    <row r="287" spans="1:18" s="199" customFormat="1" ht="14.4" customHeight="1">
      <c r="A287" s="195"/>
      <c r="B287" s="236">
        <v>45748</v>
      </c>
      <c r="C287" s="336">
        <f t="shared" si="17"/>
        <v>18.21962865654822</v>
      </c>
      <c r="D287" s="225">
        <f>0.0262204442502061+0.0924765538336553+0.0909316584643564</f>
        <v>0.2096286565482178</v>
      </c>
      <c r="E287" s="249">
        <v>18.010000000000002</v>
      </c>
      <c r="F287" s="203">
        <f t="shared" si="18"/>
        <v>0.43068335515668066</v>
      </c>
      <c r="G287" s="204">
        <f t="shared" si="19"/>
        <v>0.4257280635400908</v>
      </c>
      <c r="H287" s="205">
        <v>42.304000000000002</v>
      </c>
      <c r="I287" s="206">
        <v>4.1570699189433236E-2</v>
      </c>
      <c r="J287" s="207">
        <v>3.7045818579167521E-2</v>
      </c>
      <c r="K287" s="238">
        <f t="shared" si="21"/>
        <v>225.00309556818544</v>
      </c>
      <c r="L287" s="263" t="s">
        <v>110</v>
      </c>
      <c r="M287" s="196"/>
      <c r="N287" s="196"/>
      <c r="O287" s="197"/>
      <c r="P287" s="196"/>
      <c r="Q287" s="196"/>
      <c r="R287" s="198"/>
    </row>
    <row r="288" spans="1:18" s="199" customFormat="1" ht="14.4" customHeight="1">
      <c r="A288" s="195"/>
      <c r="B288" s="236">
        <v>45778</v>
      </c>
      <c r="C288" s="336">
        <f t="shared" si="17"/>
        <v>17.910545122656139</v>
      </c>
      <c r="D288" s="225">
        <f>0.0171890407223618+0.0974923854061659+0.0958636965276117</f>
        <v>0.21054512265613939</v>
      </c>
      <c r="E288" s="249">
        <v>17.7</v>
      </c>
      <c r="F288" s="203">
        <f t="shared" si="18"/>
        <v>0.4296949552002336</v>
      </c>
      <c r="G288" s="204">
        <f t="shared" si="19"/>
        <v>0.42464373110695258</v>
      </c>
      <c r="H288" s="205">
        <v>41.682000000000002</v>
      </c>
      <c r="I288" s="206">
        <v>4.101702256227148E-2</v>
      </c>
      <c r="J288" s="207">
        <v>3.6300786139431433E-2</v>
      </c>
      <c r="K288" s="238">
        <f t="shared" si="21"/>
        <v>224.90133970231548</v>
      </c>
      <c r="L288" s="263" t="s">
        <v>110</v>
      </c>
      <c r="M288" s="196"/>
      <c r="N288" s="196"/>
      <c r="O288" s="197"/>
      <c r="P288" s="196"/>
      <c r="Q288" s="196"/>
      <c r="R288" s="198"/>
    </row>
    <row r="289" spans="1:18" s="199" customFormat="1" ht="14.4" customHeight="1">
      <c r="A289" s="195"/>
      <c r="B289" s="236">
        <v>45809</v>
      </c>
      <c r="C289" s="225">
        <f t="shared" si="17"/>
        <v>17.823437113366513</v>
      </c>
      <c r="D289" s="225">
        <v>3.4371133665121998E-3</v>
      </c>
      <c r="E289" s="249">
        <v>17.82</v>
      </c>
      <c r="F289" s="203">
        <f t="shared" si="18"/>
        <v>0.43627153065468532</v>
      </c>
      <c r="G289" s="204">
        <f t="shared" si="19"/>
        <v>0.4361873990306947</v>
      </c>
      <c r="H289" s="205">
        <v>40.853999999999999</v>
      </c>
      <c r="I289" s="206">
        <v>4.0772100720218342E-2</v>
      </c>
      <c r="J289" s="207">
        <v>3.6542690432764632E-2</v>
      </c>
      <c r="K289" s="238">
        <f t="shared" si="21"/>
        <v>223.81626618915374</v>
      </c>
      <c r="L289" s="263"/>
      <c r="M289" s="196"/>
      <c r="N289" s="196"/>
      <c r="O289" s="197"/>
      <c r="P289" s="196"/>
      <c r="Q289" s="196"/>
      <c r="R289" s="198"/>
    </row>
    <row r="290" spans="1:18" s="199" customFormat="1" ht="14.4" customHeight="1">
      <c r="A290" s="195"/>
      <c r="B290" s="236">
        <v>45839</v>
      </c>
      <c r="C290" s="225">
        <f>E290</f>
        <v>17.57</v>
      </c>
      <c r="D290" s="225">
        <v>3.6672271520630607E-2</v>
      </c>
      <c r="E290" s="249">
        <v>17.57</v>
      </c>
      <c r="F290" s="203">
        <f t="shared" si="18"/>
        <v>0.43656512448442081</v>
      </c>
      <c r="G290" s="204">
        <f t="shared" si="19"/>
        <v>0.43656512448442081</v>
      </c>
      <c r="H290" s="205">
        <v>40.246000000000002</v>
      </c>
      <c r="I290" s="206">
        <v>3.9921896980652731E-2</v>
      </c>
      <c r="J290" s="207">
        <v>3.5995425867665826E-2</v>
      </c>
      <c r="K290" s="238">
        <f t="shared" si="21"/>
        <v>224.69512605530818</v>
      </c>
      <c r="L290" s="263"/>
      <c r="M290" s="196"/>
      <c r="N290" s="196"/>
      <c r="O290" s="197"/>
      <c r="P290" s="196"/>
      <c r="Q290" s="196"/>
      <c r="R290" s="198"/>
    </row>
    <row r="291" spans="1:18" s="199" customFormat="1" ht="14.4" customHeight="1">
      <c r="A291" s="195"/>
      <c r="B291" s="236">
        <v>45870</v>
      </c>
      <c r="C291" s="225">
        <f t="shared" ref="C291:C295" si="22">E291</f>
        <v>17.34</v>
      </c>
      <c r="D291" s="225">
        <v>2.0172130174670733E-2</v>
      </c>
      <c r="E291" s="249">
        <v>17.34</v>
      </c>
      <c r="F291" s="203">
        <f t="shared" si="18"/>
        <v>0.4330344879254801</v>
      </c>
      <c r="G291" s="204">
        <f t="shared" si="19"/>
        <v>0.4330344879254801</v>
      </c>
      <c r="H291" s="205">
        <v>40.042999999999999</v>
      </c>
      <c r="I291" s="206">
        <v>3.8706597420352519E-2</v>
      </c>
      <c r="J291" s="207">
        <v>3.5939411400485163E-2</v>
      </c>
      <c r="K291" s="238">
        <f t="shared" si="21"/>
        <v>225.53049683764399</v>
      </c>
      <c r="L291" s="263"/>
      <c r="M291" s="196"/>
      <c r="N291" s="196"/>
      <c r="O291" s="197"/>
      <c r="P291" s="196"/>
      <c r="Q291" s="196"/>
      <c r="R291" s="198"/>
    </row>
    <row r="292" spans="1:18" s="199" customFormat="1" ht="14.4" customHeight="1">
      <c r="A292" s="195"/>
      <c r="B292" s="236">
        <v>45901</v>
      </c>
      <c r="C292" s="225">
        <f t="shared" si="22"/>
        <v>17.36</v>
      </c>
      <c r="D292" s="225">
        <v>1.9344958474494831E-2</v>
      </c>
      <c r="E292" s="249">
        <v>17.36</v>
      </c>
      <c r="F292" s="203">
        <f t="shared" si="18"/>
        <v>0.43432574430823118</v>
      </c>
      <c r="G292" s="204">
        <f t="shared" si="19"/>
        <v>0.43432574430823118</v>
      </c>
      <c r="H292" s="205">
        <v>39.97</v>
      </c>
      <c r="I292" s="206">
        <v>3.8982627379481667E-2</v>
      </c>
      <c r="J292" s="207">
        <v>3.5954927886757138E-2</v>
      </c>
      <c r="K292" s="238">
        <f t="shared" si="21"/>
        <v>224.91218017666156</v>
      </c>
      <c r="L292" s="263"/>
      <c r="M292" s="196"/>
      <c r="N292" s="196"/>
      <c r="O292" s="197"/>
      <c r="P292" s="196"/>
      <c r="Q292" s="196"/>
      <c r="R292" s="198"/>
    </row>
    <row r="293" spans="1:18" s="199" customFormat="1" ht="14.4" customHeight="1">
      <c r="A293" s="195"/>
      <c r="B293" s="236">
        <v>45931</v>
      </c>
      <c r="C293" s="225">
        <f t="shared" si="22"/>
        <v>17.010000000000002</v>
      </c>
      <c r="D293" s="225">
        <v>1.8347887022889656E-2</v>
      </c>
      <c r="E293" s="249">
        <v>17.010000000000002</v>
      </c>
      <c r="F293" s="203">
        <f t="shared" si="18"/>
        <v>0.42607018510632971</v>
      </c>
      <c r="G293" s="204">
        <f t="shared" si="19"/>
        <v>0.42607018510632971</v>
      </c>
      <c r="H293" s="205">
        <v>39.923000000000002</v>
      </c>
      <c r="I293" s="206">
        <v>3.8772387806224523E-2</v>
      </c>
      <c r="J293" s="207">
        <v>3.5462052252551224E-2</v>
      </c>
      <c r="K293" s="238">
        <f t="shared" si="21"/>
        <v>222.46497843481507</v>
      </c>
      <c r="L293" s="263"/>
      <c r="M293" s="196"/>
      <c r="N293" s="196"/>
      <c r="O293" s="197"/>
      <c r="P293" s="196"/>
      <c r="Q293" s="196"/>
      <c r="R293" s="198"/>
    </row>
    <row r="294" spans="1:18" s="199" customFormat="1" ht="14.4" customHeight="1">
      <c r="A294" s="195"/>
      <c r="B294" s="236">
        <v>45962</v>
      </c>
      <c r="C294" s="225">
        <f t="shared" si="22"/>
        <v>16.809999999999999</v>
      </c>
      <c r="D294" s="225">
        <v>7.3218270935459214E-3</v>
      </c>
      <c r="E294" s="249">
        <v>16.809999999999999</v>
      </c>
      <c r="F294" s="203">
        <f t="shared" si="18"/>
        <v>0.42316987211761153</v>
      </c>
      <c r="G294" s="204">
        <f t="shared" si="19"/>
        <v>0.42316987211761153</v>
      </c>
      <c r="H294" s="205">
        <v>39.723999999999997</v>
      </c>
      <c r="I294" s="206">
        <v>3.8501859664163016E-2</v>
      </c>
      <c r="J294" s="207">
        <v>3.5059630436523832E-2</v>
      </c>
      <c r="K294" s="238">
        <f t="shared" si="21"/>
        <v>221.86049150412978</v>
      </c>
      <c r="L294" s="263"/>
      <c r="M294" s="196"/>
      <c r="N294" s="196"/>
      <c r="O294" s="197"/>
      <c r="P294" s="196"/>
      <c r="Q294" s="196"/>
      <c r="R294" s="198"/>
    </row>
    <row r="295" spans="1:18" s="199" customFormat="1" ht="14.4" customHeight="1">
      <c r="A295" s="195"/>
      <c r="B295" s="321">
        <v>45992</v>
      </c>
      <c r="C295" s="251">
        <f t="shared" si="22"/>
        <v>16.66</v>
      </c>
      <c r="D295" s="251">
        <v>6.7370038160060441E-3</v>
      </c>
      <c r="E295" s="334">
        <v>16.66</v>
      </c>
      <c r="F295" s="253">
        <f t="shared" si="18"/>
        <v>0.42555365398860762</v>
      </c>
      <c r="G295" s="254">
        <f t="shared" si="19"/>
        <v>0.42555365398860762</v>
      </c>
      <c r="H295" s="255">
        <v>39.149000000000001</v>
      </c>
      <c r="I295" s="256">
        <v>3.8844812809281072E-2</v>
      </c>
      <c r="J295" s="257">
        <v>3.4674430502197214E-2</v>
      </c>
      <c r="K295" s="258">
        <f t="shared" si="21"/>
        <v>220.00712402637166</v>
      </c>
      <c r="L295" s="330"/>
      <c r="M295" s="196"/>
      <c r="N295" s="196"/>
      <c r="O295" s="197"/>
      <c r="P295" s="196"/>
      <c r="Q295" s="196"/>
      <c r="R295" s="198"/>
    </row>
    <row r="296" spans="1:18" s="199" customFormat="1" ht="14.4" customHeight="1">
      <c r="A296" s="195"/>
      <c r="B296" s="236">
        <v>46023</v>
      </c>
      <c r="C296" s="225">
        <f>E296</f>
        <v>16.03</v>
      </c>
      <c r="D296" s="225">
        <v>7.1333961988045451E-3</v>
      </c>
      <c r="E296" s="249">
        <v>16.03</v>
      </c>
      <c r="F296" s="203">
        <f t="shared" si="18"/>
        <v>0.41702437628450273</v>
      </c>
      <c r="G296" s="204">
        <f t="shared" si="19"/>
        <v>0.41702437628450273</v>
      </c>
      <c r="H296" s="205">
        <v>38.439</v>
      </c>
      <c r="I296" s="206">
        <v>3.9941008548791256E-2</v>
      </c>
      <c r="J296" s="207">
        <v>3.516845399119628E-2</v>
      </c>
      <c r="K296" s="238">
        <f t="shared" si="21"/>
        <v>207.20567382346613</v>
      </c>
      <c r="L296" s="263"/>
      <c r="M296" s="196"/>
      <c r="N296" s="196"/>
      <c r="O296" s="197"/>
      <c r="P296" s="196"/>
      <c r="Q296" s="196"/>
      <c r="R296" s="198"/>
    </row>
    <row r="297" spans="1:18" s="199" customFormat="1" ht="14.4" customHeight="1">
      <c r="A297" s="195"/>
      <c r="B297" s="236">
        <v>46054</v>
      </c>
      <c r="C297" s="225">
        <f t="shared" ref="C297:C301" si="23">E297</f>
        <v>16.38</v>
      </c>
      <c r="D297" s="225">
        <v>7.4405289607902729E-3</v>
      </c>
      <c r="E297" s="249">
        <v>16.38</v>
      </c>
      <c r="F297" s="203">
        <f t="shared" si="18"/>
        <v>0.42471543029014441</v>
      </c>
      <c r="G297" s="204">
        <f t="shared" si="19"/>
        <v>0.42471543029014441</v>
      </c>
      <c r="H297" s="205">
        <v>38.567</v>
      </c>
      <c r="I297" s="206">
        <v>4.0747026305396547E-2</v>
      </c>
      <c r="J297" s="207">
        <v>3.6135043709131683E-2</v>
      </c>
      <c r="K297" s="238">
        <f t="shared" si="21"/>
        <v>206.8481327096693</v>
      </c>
      <c r="L297" s="263"/>
      <c r="M297" s="196"/>
      <c r="N297" s="196"/>
      <c r="O297" s="197"/>
      <c r="P297" s="196"/>
      <c r="Q297" s="196"/>
      <c r="R297" s="198"/>
    </row>
    <row r="298" spans="1:18" s="199" customFormat="1" ht="14.4" customHeight="1">
      <c r="A298" s="195"/>
      <c r="B298" s="236">
        <v>46082</v>
      </c>
      <c r="C298" s="225">
        <f t="shared" si="23"/>
        <v>16.79</v>
      </c>
      <c r="D298" s="225">
        <v>8.3954864794532329E-3</v>
      </c>
      <c r="E298" s="249">
        <v>16.79</v>
      </c>
      <c r="F298" s="203">
        <f t="shared" si="18"/>
        <v>0.41705996323712052</v>
      </c>
      <c r="G298" s="204">
        <f t="shared" si="19"/>
        <v>0.41705996323712052</v>
      </c>
      <c r="H298" s="205">
        <v>40.258000000000003</v>
      </c>
      <c r="I298" s="206">
        <v>4.2062417938768498E-2</v>
      </c>
      <c r="J298" s="207">
        <v>3.6753182245234967E-2</v>
      </c>
      <c r="K298" s="238">
        <f t="shared" si="21"/>
        <v>206.82416724265303</v>
      </c>
      <c r="L298" s="263"/>
      <c r="M298" s="196"/>
      <c r="N298" s="196"/>
      <c r="O298" s="197"/>
      <c r="P298" s="196"/>
      <c r="Q298" s="196"/>
      <c r="R298" s="198"/>
    </row>
    <row r="299" spans="1:18" s="199" customFormat="1" ht="14.4" customHeight="1">
      <c r="A299" s="196"/>
      <c r="B299" s="236">
        <v>46113</v>
      </c>
      <c r="C299" s="225">
        <f t="shared" si="23"/>
        <v>16.64</v>
      </c>
      <c r="D299" s="225">
        <v>7.2386235954015445E-3</v>
      </c>
      <c r="E299" s="249">
        <v>16.64</v>
      </c>
      <c r="F299" s="203">
        <f t="shared" si="18"/>
        <v>0.4159064210552626</v>
      </c>
      <c r="G299" s="204">
        <f t="shared" si="19"/>
        <v>0.4159064210552626</v>
      </c>
      <c r="H299" s="205">
        <v>40.009</v>
      </c>
      <c r="I299" s="206">
        <v>4.1966373257041917E-2</v>
      </c>
      <c r="J299" s="207">
        <v>3.6266723938049715E-2</v>
      </c>
      <c r="K299" s="238">
        <f t="shared" si="21"/>
        <v>206.50262337867446</v>
      </c>
      <c r="L299" s="347"/>
      <c r="M299" s="196"/>
      <c r="N299" s="196"/>
      <c r="O299" s="197"/>
      <c r="P299" s="196"/>
      <c r="Q299" s="196"/>
      <c r="R299" s="198"/>
    </row>
    <row r="300" spans="1:18" s="199" customFormat="1" ht="14.4" customHeight="1">
      <c r="A300" s="333"/>
      <c r="B300" s="236">
        <v>46143</v>
      </c>
      <c r="C300" s="225">
        <f t="shared" si="23"/>
        <v>17.059999999999999</v>
      </c>
      <c r="D300" s="225">
        <v>7.9065318674885494E-3</v>
      </c>
      <c r="E300" s="249">
        <v>17.059999999999999</v>
      </c>
      <c r="F300" s="203">
        <f t="shared" si="18"/>
        <v>0.42644669416322956</v>
      </c>
      <c r="G300" s="204">
        <f t="shared" si="19"/>
        <v>0.42644669416322956</v>
      </c>
      <c r="H300" s="205">
        <v>40.005000000000003</v>
      </c>
      <c r="I300" s="206">
        <v>4.196503986612269E-2</v>
      </c>
      <c r="J300" s="207">
        <v>3.7436375997092319E-2</v>
      </c>
      <c r="K300" s="238">
        <f t="shared" si="21"/>
        <v>208.59964039746853</v>
      </c>
      <c r="L300" s="347"/>
      <c r="M300" s="196"/>
      <c r="N300" s="196"/>
      <c r="O300" s="197"/>
      <c r="P300" s="196"/>
      <c r="Q300" s="196"/>
      <c r="R300" s="198"/>
    </row>
    <row r="301" spans="1:18" s="199" customFormat="1" ht="14.4" customHeight="1">
      <c r="A301" s="195"/>
      <c r="B301" s="236">
        <v>46174</v>
      </c>
      <c r="C301" s="225">
        <f t="shared" si="23"/>
        <v>16.86</v>
      </c>
      <c r="D301" s="225">
        <v>7.3942392978635467E-3</v>
      </c>
      <c r="E301" s="249">
        <v>16.86</v>
      </c>
      <c r="F301" s="203">
        <f t="shared" si="18"/>
        <v>0.41871554164804053</v>
      </c>
      <c r="G301" s="204">
        <f t="shared" si="19"/>
        <v>0.41871554164804053</v>
      </c>
      <c r="H301" s="205">
        <v>40.265999999999998</v>
      </c>
      <c r="I301" s="206">
        <v>4.1255608911305482E-2</v>
      </c>
      <c r="J301" s="207">
        <v>3.6966638448907747E-2</v>
      </c>
      <c r="K301" s="238">
        <f t="shared" si="21"/>
        <v>209.26184801947795</v>
      </c>
      <c r="L301" s="263"/>
      <c r="M301" s="196"/>
      <c r="N301" s="196"/>
      <c r="O301" s="197"/>
      <c r="P301" s="196"/>
      <c r="Q301" s="196"/>
      <c r="R301" s="198"/>
    </row>
    <row r="302" spans="1:18" s="199" customFormat="1" ht="14.4" customHeight="1">
      <c r="A302" s="333"/>
      <c r="B302" s="350">
        <v>46204</v>
      </c>
      <c r="C302" s="351">
        <v>16.66087764035127</v>
      </c>
      <c r="D302" s="351">
        <v>7.7522292811096826E-3</v>
      </c>
      <c r="E302" s="349">
        <v>16.66087764035127</v>
      </c>
      <c r="F302" s="352">
        <v>0.41441876577248637</v>
      </c>
      <c r="G302" s="353">
        <f t="shared" si="19"/>
        <v>0.41441876577248637</v>
      </c>
      <c r="H302" s="354">
        <v>40.203000000000003</v>
      </c>
      <c r="I302" s="355">
        <v>4.0831668392197998E-2</v>
      </c>
      <c r="J302" s="356">
        <v>3.6481081617249909E-2</v>
      </c>
      <c r="K302" s="357">
        <f t="shared" si="21"/>
        <v>209.22304998318677</v>
      </c>
      <c r="L302" s="340"/>
      <c r="M302" s="196"/>
      <c r="N302" s="196"/>
      <c r="O302" s="197"/>
      <c r="P302" s="196"/>
      <c r="Q302" s="196"/>
      <c r="R302" s="198"/>
    </row>
    <row r="303" spans="1:18" s="199" customFormat="1" ht="14.4" customHeight="1">
      <c r="A303" s="333"/>
      <c r="B303" s="350">
        <v>46235</v>
      </c>
      <c r="C303" s="351">
        <v>16.456067759585004</v>
      </c>
      <c r="D303" s="351">
        <v>7.2332668187425836E-3</v>
      </c>
      <c r="E303" s="349">
        <v>16.456067759585004</v>
      </c>
      <c r="F303" s="352">
        <v>0.40932437279767686</v>
      </c>
      <c r="G303" s="353">
        <f t="shared" si="19"/>
        <v>0.40932437279767686</v>
      </c>
      <c r="H303" s="354">
        <v>40.203000000000003</v>
      </c>
      <c r="I303" s="355">
        <v>4.0358494253814485E-2</v>
      </c>
      <c r="J303" s="356">
        <v>3.6184912999646879E-2</v>
      </c>
      <c r="K303" s="357">
        <f t="shared" si="21"/>
        <v>208.72816338351055</v>
      </c>
      <c r="L303" s="340"/>
      <c r="M303" s="196"/>
      <c r="N303" s="196"/>
      <c r="O303" s="197"/>
      <c r="P303" s="196"/>
      <c r="Q303" s="196"/>
      <c r="R303" s="198"/>
    </row>
    <row r="304" spans="1:18" s="199" customFormat="1" ht="14.4" customHeight="1">
      <c r="A304" s="333"/>
      <c r="B304" s="341">
        <v>46266</v>
      </c>
      <c r="C304" s="322">
        <v>16.47896718396818</v>
      </c>
      <c r="D304" s="322">
        <v>8.1233733232211058E-3</v>
      </c>
      <c r="E304" s="323">
        <v>16.47896718396818</v>
      </c>
      <c r="F304" s="324">
        <v>0.4098531893443475</v>
      </c>
      <c r="G304" s="325">
        <v>0.4098531893443475</v>
      </c>
      <c r="H304" s="326">
        <v>40.207000000000001</v>
      </c>
      <c r="I304" s="327">
        <v>3.9471154251157388E-2</v>
      </c>
      <c r="J304" s="328">
        <v>3.6590142813031606E-2</v>
      </c>
      <c r="K304" s="329">
        <f t="shared" si="21"/>
        <v>210.34347143050678</v>
      </c>
      <c r="L304" s="342"/>
      <c r="M304" s="196"/>
      <c r="N304" s="196"/>
      <c r="O304" s="197"/>
      <c r="P304" s="196"/>
      <c r="Q304" s="196"/>
      <c r="R304" s="198"/>
    </row>
    <row r="305" spans="1:18" s="199" customFormat="1" ht="14.4" customHeight="1">
      <c r="A305" s="333"/>
      <c r="B305" s="333"/>
      <c r="C305" s="333"/>
      <c r="D305" s="333"/>
      <c r="E305" s="333"/>
      <c r="F305" s="333"/>
      <c r="G305" s="333"/>
      <c r="H305" s="333"/>
      <c r="I305" s="333"/>
      <c r="J305" s="333"/>
      <c r="K305" s="333"/>
      <c r="L305" s="260"/>
      <c r="M305" s="196"/>
      <c r="N305" s="196"/>
      <c r="O305" s="197"/>
      <c r="P305" s="196"/>
      <c r="Q305" s="196"/>
      <c r="R305" s="198"/>
    </row>
    <row r="306" spans="1:18" ht="14.4" customHeight="1">
      <c r="A306" s="6"/>
      <c r="B306" s="11" t="s">
        <v>94</v>
      </c>
      <c r="C306" s="15"/>
      <c r="D306" s="15"/>
      <c r="E306" s="189"/>
      <c r="F306" s="15"/>
      <c r="G306" s="15"/>
      <c r="H306" s="15"/>
      <c r="I306" s="15"/>
      <c r="J306" s="15"/>
      <c r="K306" s="15"/>
      <c r="L306" s="15"/>
      <c r="M306" s="15"/>
      <c r="N306" s="15"/>
      <c r="O306" s="18"/>
      <c r="P306" s="7"/>
      <c r="Q306" s="7"/>
      <c r="R306" s="90"/>
    </row>
    <row r="307" spans="1:18" ht="14.4" customHeight="1">
      <c r="A307" s="6"/>
      <c r="B307" s="11" t="s">
        <v>95</v>
      </c>
      <c r="C307" s="15"/>
      <c r="D307" s="15"/>
      <c r="E307" s="189"/>
      <c r="F307" s="15"/>
      <c r="G307" s="15"/>
      <c r="H307" s="15"/>
      <c r="I307" s="15"/>
      <c r="J307" s="15"/>
      <c r="K307" s="15"/>
      <c r="L307" s="15"/>
      <c r="M307" s="15"/>
      <c r="N307" s="15"/>
      <c r="O307" s="18"/>
      <c r="P307" s="7"/>
      <c r="Q307" s="7"/>
      <c r="R307" s="90"/>
    </row>
    <row r="308" spans="1:18" ht="14.4" customHeight="1">
      <c r="A308" s="6"/>
      <c r="B308" s="14" t="s">
        <v>96</v>
      </c>
      <c r="C308" s="15"/>
      <c r="D308" s="15"/>
      <c r="E308" s="189"/>
      <c r="F308" s="15"/>
      <c r="G308" s="15"/>
      <c r="H308" s="15"/>
      <c r="I308" s="15"/>
      <c r="J308" s="15"/>
      <c r="K308" s="15"/>
      <c r="L308" s="15"/>
      <c r="M308" s="15"/>
      <c r="N308" s="15"/>
      <c r="O308" s="18"/>
      <c r="P308" s="7"/>
      <c r="Q308" s="7"/>
      <c r="R308" s="90"/>
    </row>
    <row r="309" spans="1:18" ht="14.4" customHeight="1">
      <c r="A309" s="6"/>
      <c r="B309" s="190"/>
      <c r="C309" s="15"/>
      <c r="D309" s="15"/>
      <c r="E309" s="189"/>
      <c r="F309" s="15"/>
      <c r="G309" s="15"/>
      <c r="H309" s="15"/>
      <c r="I309" s="15"/>
      <c r="J309" s="15"/>
      <c r="K309" s="15"/>
      <c r="L309" s="15"/>
      <c r="M309" s="7"/>
      <c r="N309" s="7"/>
      <c r="O309" s="18"/>
      <c r="P309" s="7"/>
      <c r="Q309" s="7"/>
      <c r="R309" s="90"/>
    </row>
    <row r="310" spans="1:18" ht="15.75" customHeight="1">
      <c r="A310" s="49"/>
      <c r="B310" s="124"/>
      <c r="C310" s="63" t="s">
        <v>22</v>
      </c>
      <c r="D310" s="56"/>
      <c r="E310" s="189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191"/>
    </row>
    <row r="311" spans="1:18" ht="14.4" customHeight="1">
      <c r="A311" s="49"/>
      <c r="B311" s="125"/>
      <c r="C311" s="63" t="s">
        <v>24</v>
      </c>
      <c r="D311" s="56"/>
      <c r="E311" s="189"/>
      <c r="F311" s="56"/>
      <c r="G311" s="56"/>
      <c r="H311" s="56"/>
      <c r="I311" s="56"/>
      <c r="J311" s="56"/>
      <c r="K311" s="56"/>
      <c r="L311" s="56"/>
      <c r="M311" s="56"/>
      <c r="N311" s="65"/>
      <c r="O311" s="7"/>
      <c r="P311" s="56"/>
      <c r="Q311" s="56"/>
      <c r="R311" s="191"/>
    </row>
    <row r="312" spans="1:18" ht="14.4" customHeight="1">
      <c r="A312" s="6"/>
      <c r="B312" s="62"/>
      <c r="C312" s="63" t="s">
        <v>23</v>
      </c>
      <c r="D312" s="56"/>
      <c r="E312" s="56"/>
      <c r="F312" s="192"/>
      <c r="G312" s="7"/>
      <c r="H312" s="192"/>
      <c r="I312" s="192"/>
      <c r="J312" s="192"/>
      <c r="K312" s="192"/>
      <c r="L312" s="7"/>
      <c r="M312" s="7"/>
      <c r="N312" s="7"/>
      <c r="O312" s="7"/>
      <c r="P312" s="7"/>
      <c r="Q312" s="7"/>
      <c r="R312" s="90"/>
    </row>
    <row r="313" spans="1:18" ht="14.4" customHeight="1">
      <c r="A313" s="6"/>
      <c r="B313" s="7"/>
      <c r="C313" s="192"/>
      <c r="D313" s="7"/>
      <c r="E313" s="189"/>
      <c r="F313" s="192"/>
      <c r="G313" s="7"/>
      <c r="H313" s="192"/>
      <c r="I313" s="192"/>
      <c r="J313" s="192"/>
      <c r="K313" s="192"/>
      <c r="L313" s="7"/>
      <c r="M313" s="7"/>
      <c r="N313" s="7"/>
      <c r="O313" s="7"/>
      <c r="P313" s="7"/>
      <c r="Q313" s="7"/>
      <c r="R313" s="90"/>
    </row>
    <row r="314" spans="1:18" ht="14.4" customHeight="1">
      <c r="A314" s="85"/>
      <c r="B314" s="86"/>
      <c r="C314" s="193"/>
      <c r="D314" s="86"/>
      <c r="E314" s="86"/>
      <c r="F314" s="193"/>
      <c r="G314" s="86"/>
      <c r="H314" s="193"/>
      <c r="I314" s="193"/>
      <c r="J314" s="193"/>
      <c r="K314" s="193"/>
      <c r="L314" s="86"/>
      <c r="M314" s="86"/>
      <c r="N314" s="86"/>
      <c r="O314" s="86"/>
      <c r="P314" s="86"/>
      <c r="Q314" s="86"/>
      <c r="R314" s="129"/>
    </row>
    <row r="317" spans="1:18" ht="14.4" customHeight="1">
      <c r="C317" s="276"/>
    </row>
    <row r="318" spans="1:18" ht="14.4" customHeight="1">
      <c r="C318" s="276"/>
    </row>
    <row r="319" spans="1:18" ht="14.4" customHeight="1">
      <c r="C319" s="276"/>
    </row>
    <row r="320" spans="1:18" ht="14.4" customHeight="1">
      <c r="C320" s="276"/>
    </row>
    <row r="321" spans="3:3" ht="14.4" customHeight="1">
      <c r="C321" s="276"/>
    </row>
    <row r="322" spans="3:3" ht="14.4" customHeight="1">
      <c r="C322" s="276"/>
    </row>
    <row r="323" spans="3:3" ht="14.4" customHeight="1">
      <c r="C323" s="276"/>
    </row>
    <row r="324" spans="3:3" ht="14.4" customHeight="1">
      <c r="C324" s="276"/>
    </row>
    <row r="325" spans="3:3" ht="14.4" customHeight="1">
      <c r="C325" s="276"/>
    </row>
    <row r="326" spans="3:3" ht="14.4" customHeight="1">
      <c r="C326" s="276"/>
    </row>
  </sheetData>
  <mergeCells count="1">
    <mergeCell ref="C5:K5"/>
  </mergeCells>
  <hyperlinks>
    <hyperlink ref="L3" location="'Precio al productor'!R1C1" display="Volver a hoja Precio al productor" xr:uid="{00000000-0004-0000-0200-000000000000}"/>
    <hyperlink ref="L4" location="'Composición-Precio kilo sólidos'!R1C1" display="Volver a hoja Composición-Precio kilo sólidos" xr:uid="{00000000-0004-0000-0200-000001000000}"/>
  </hyperlinks>
  <pageMargins left="0.75" right="0.75" top="1" bottom="1" header="0.3" footer="0.3"/>
  <pageSetup orientation="portrait" r:id="rId1"/>
  <headerFooter>
    <oddFooter>&amp;C&amp;"Helvetica Neue,Regular"&amp;12&amp;K000000&amp;P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B273A-CA3A-4380-B25F-44D62A6D3457}">
  <dimension ref="A1:B1"/>
  <sheetViews>
    <sheetView workbookViewId="0"/>
  </sheetViews>
  <sheetFormatPr baseColWidth="10" defaultRowHeight="14.4"/>
  <sheetData>
    <row r="1" spans="1:2">
      <c r="A1" t="s">
        <v>100</v>
      </c>
      <c r="B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D9B7-3273-43B5-A23C-504A56E8C37B}">
  <dimension ref="A1"/>
  <sheetViews>
    <sheetView workbookViewId="0"/>
  </sheetViews>
  <sheetFormatPr baseColWidth="10" defaultRowHeight="14.4"/>
  <sheetData>
    <row r="1" spans="1:1">
      <c r="A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8CF3F6-4F5F-42B6-A56D-9E67FD3944EC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2.xml><?xml version="1.0" encoding="utf-8"?>
<ds:datastoreItem xmlns:ds="http://schemas.openxmlformats.org/officeDocument/2006/customXml" ds:itemID="{6BA7FD74-EE25-42EE-BD44-828099475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FD7C76-261C-4E63-87C5-46C72E1252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Precio en tambo</vt:lpstr>
      <vt:lpstr>Composición-Precio kilo sólidos</vt:lpstr>
      <vt:lpstr>Listado Datos</vt:lpstr>
      <vt:lpstr>ModelRiskDSN</vt:lpstr>
      <vt:lpstr>ModelRiskSYS1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Pedemonte</dc:creator>
  <cp:keywords/>
  <dc:description/>
  <cp:lastModifiedBy>Ana Pedemonte</cp:lastModifiedBy>
  <cp:revision/>
  <dcterms:created xsi:type="dcterms:W3CDTF">2022-07-29T08:36:25Z</dcterms:created>
  <dcterms:modified xsi:type="dcterms:W3CDTF">2026-10-21T18:02:41Z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0x010100A68A96D9EA1D9545B6EFAC7C8387E0F1</vt:lpwstr>
  </property>
  <property fmtid="{D5CDD505-2E9C-101B-9397-08002B2CF9AE}" pid="3" name="Order">
    <vt:r8>6972600</vt:r8>
  </property>
  <property fmtid="{D5CDD505-2E9C-101B-9397-08002B2CF9AE}" pid="4" name="MediaServiceImageTags">
    <vt:lpwstr/>
  </property>
</Properties>
</file>