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234" documentId="13_ncr:1_{C229F043-1FD6-4A9B-82A9-8F36A51AF250}" xr6:coauthVersionLast="47" xr6:coauthVersionMax="47" xr10:uidLastSave="{D32E48E1-1C71-42DE-84CB-53937A08B4A4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5" i="3" l="1"/>
  <c r="G298" i="3"/>
  <c r="G297" i="3"/>
  <c r="G296" i="3"/>
  <c r="G295" i="3"/>
  <c r="G294" i="3"/>
  <c r="G293" i="3"/>
  <c r="G292" i="3"/>
  <c r="G291" i="3"/>
  <c r="G290" i="3"/>
  <c r="F298" i="3"/>
  <c r="F297" i="3"/>
  <c r="F296" i="3"/>
  <c r="F295" i="3"/>
  <c r="F294" i="3"/>
  <c r="F293" i="3"/>
  <c r="F292" i="3"/>
  <c r="F291" i="3"/>
  <c r="F290" i="3"/>
  <c r="C295" i="3"/>
  <c r="K298" i="3"/>
  <c r="K297" i="3"/>
  <c r="K296" i="3"/>
  <c r="D279" i="3"/>
  <c r="C290" i="3"/>
  <c r="C291" i="3"/>
  <c r="C292" i="3"/>
  <c r="C293" i="3"/>
  <c r="K293" i="3" s="1"/>
  <c r="C294" i="3"/>
  <c r="K294" i="3" s="1"/>
  <c r="R36" i="1"/>
  <c r="AJ36" i="1"/>
  <c r="R72" i="1"/>
  <c r="AJ72" i="1"/>
  <c r="P70" i="2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<sst xmlns="http://schemas.openxmlformats.org/spreadsheetml/2006/main" count="366" uniqueCount="111">
  <si>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</si>
  <si>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</si>
  <si>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</si>
  <si>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</si>
  <si>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</si>
  <si>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</si>
  <si>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</si>
  <si>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</si>
  <si>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</si>
  <si>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</si>
  <si>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</si>
  <si>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</si>
  <si>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</si>
  <si>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</si>
  <si>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</si>
  <si>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</si>
  <si>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</si>
  <si>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</si>
  <si>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</si>
  <si>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</si>
  <si>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</si>
  <si>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</si>
  <si>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</si>
  <si>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</si>
  <si>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</si>
  <si>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</si>
  <si>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</si>
  <si>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</si>
  <si>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</si>
  <si>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</si>
  <si>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</si>
  <si>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</si>
  <si>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</si>
  <si>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</si>
  <si>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</si>
  <si>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</si>
  <si>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</si>
  <si>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</si>
  <si>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</si>
  <si>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</si>
  <si>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</si>
  <si>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</si>
  <si>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</si>
  <si>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</si>
  <si>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</si>
  <si>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</si>
  <si>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</si>
  <si>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</si>
  <si>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</si>
  <si>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</si>
  <si>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</si>
  <si>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</si>
  <si>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</si>
  <si>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</si>
  <si>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</si>
  <si>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</si>
  <si>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</si>
  <si>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</si>
  <si>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</si>
  <si>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</si>
  <si>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</si>
  <si>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</si>
  <si>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</si>
  <si>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</si>
  <si>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</si>
  <si>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</si>
  <si>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</si>
  <si>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</si>
  <si>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</si>
  <si>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</si>
  <si>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</si>
  <si>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</si>
  <si>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</si>
  <si>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</si>
  <si>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</si>
  <si>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</si>
  <si>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</si>
  <si>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</si>
  <si>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</si>
  <si>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</si>
  <si>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</si>
  <si>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</si>
  <si>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</si>
  <si>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</si>
  <si>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</si>
  <si>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</si>
  <si>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</si>
  <si>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</si>
  <si>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</si>
  <si>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</si>
  <si>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</si>
  <si>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</si>
  <si>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</si>
  <si>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</si>
  <si>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</si>
  <si>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</si>
  <si>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</si>
  <si>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</si>
  <si>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</si>
  <si>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</si>
  <si>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DSN Files Count:</t>
  </si>
  <si>
    <t xml:space="preserve">1- Precio en tambo con reliquidaciones atribuibles al mes ($/lt)* </t>
  </si>
  <si>
    <t>Incluye reliquidación pagada en noviembre 2024 correspondiente al agosto-octubre 2024 y pagada en enero 2025 agosto-noviembre y correspondiente a agosto 2024- mayo 2025 pagada en junio y julio 2025</t>
  </si>
  <si>
    <t>Incluye reliquidación pagada en noviembre 2024 correspondiente al agosto-octubre 2024 y pagada en enero 2025 agosto-noviembre y correspondiente a agosto 2024- mayo 2025 pagada en junio  y julio2025</t>
  </si>
  <si>
    <t>Incluye reliquidación pagada en noviembre 2024 correspondiente al agosto-octubre 2024 y pagada en enero 2025 agosto-noviembre y correspondiente a agosto 2024- mayo 2025 pagada en junio  y julio 2025</t>
  </si>
  <si>
    <t>Incluye reliquidación pagada en enero 2025 agosto-noviembre y correspondiente a agosto 2024- mayo 2025 pagada en junio y julio 2025</t>
  </si>
  <si>
    <t>Incluye reliquidación pagada en febrero 2025 diciembre- enero y correspondiente a agosto 2024- mayo 2025 pagada en junio y julio 2025</t>
  </si>
  <si>
    <t>Incluye reliquidación pagada en febrero 2025 diciembre- enero. Incluye reliquidación abril 25 enero-mar25 y correspondiente a agosto 2024- mayo 2025 pagada en junio  y julio2025</t>
  </si>
  <si>
    <t xml:space="preserve"> Incluye reliquidación abril 25 enero-mar25 y correspondiente a agosto 2024- mayo 2025 pagada en junio y julio 2025</t>
  </si>
  <si>
    <t xml:space="preserve"> Incluye reliquidación abril 25 enero-mar25 y correspondiente a agosto 2024- mayo 2025 pagada en junio  y julio2025</t>
  </si>
  <si>
    <t>Incluye prima extraordinaria correspondiente a agosto 2024- mayo 2025 pagada en junio y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</si>
</sst>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6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4" fillId="7" borderId="94" xfId="0" applyNumberFormat="1" applyFont="1" applyFill="1" applyBorder="1" applyAlignment="1">
      <alignment horizontal="center"/>
    </xf>
    <xf numFmtId="2" fontId="12" fillId="7" borderId="94" xfId="0" applyNumberFormat="1" applyFont="1" applyFill="1" applyBorder="1"/>
    <xf numFmtId="2" fontId="12" fillId="7" borderId="94" xfId="0" applyNumberFormat="1" applyFont="1" applyFill="1" applyBorder="1" applyAlignment="1">
      <alignment horizontal="center"/>
    </xf>
    <xf numFmtId="2" fontId="4" fillId="7" borderId="101" xfId="0" applyNumberFormat="1" applyFont="1" applyFill="1" applyBorder="1" applyAlignment="1">
      <alignment horizontal="center"/>
    </xf>
    <xf numFmtId="166" fontId="0" fillId="42" borderId="12" xfId="0" applyNumberFormat="1" applyFill="1" applyBorder="1" applyAlignment="1">
      <alignment horizontal="center"/>
    </xf>
    <xf numFmtId="0" fontId="12" fillId="0" borderId="5" xfId="0" applyNumberFormat="1" applyFont="1" applyBorder="1"/>
    <xf numFmtId="2" fontId="0" fillId="0" borderId="103" xfId="0" applyNumberFormat="1" applyFill="1" applyBorder="1" applyAlignment="1">
      <alignment horizontal="right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topLeftCell="A4" workbookViewId="0">
      <selection activeCell="AD39" sqref="AD39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52" t="s">
        <v>101</v>
      </c>
      <c r="F10" s="353"/>
      <c r="G10" s="353"/>
      <c r="H10" s="353"/>
      <c r="I10" s="353"/>
      <c r="J10" s="353"/>
      <c r="K10" s="353"/>
      <c r="L10" s="353"/>
      <c r="M10" s="354"/>
      <c r="N10" s="17"/>
      <c r="O10" s="7"/>
      <c r="P10" s="7"/>
      <c r="Q10" s="18"/>
      <c r="R10" s="7"/>
      <c r="S10" s="7"/>
      <c r="T10" s="19"/>
      <c r="U10" s="15"/>
      <c r="V10" s="16"/>
      <c r="W10" s="349" t="s">
        <v>3</v>
      </c>
      <c r="X10" s="350"/>
      <c r="Y10" s="350"/>
      <c r="Z10" s="350"/>
      <c r="AA10" s="350"/>
      <c r="AB10" s="350"/>
      <c r="AC10" s="350"/>
      <c r="AD10" s="350"/>
      <c r="AE10" s="351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5" t="s">
        <v>4</v>
      </c>
      <c r="C12" s="296" t="s">
        <v>5</v>
      </c>
      <c r="D12" s="297" t="s">
        <v>6</v>
      </c>
      <c r="E12" s="297" t="s">
        <v>7</v>
      </c>
      <c r="F12" s="297" t="s">
        <v>8</v>
      </c>
      <c r="G12" s="297" t="s">
        <v>9</v>
      </c>
      <c r="H12" s="297" t="s">
        <v>10</v>
      </c>
      <c r="I12" s="297" t="s">
        <v>11</v>
      </c>
      <c r="J12" s="297" t="s">
        <v>12</v>
      </c>
      <c r="K12" s="297" t="s">
        <v>13</v>
      </c>
      <c r="L12" s="297" t="s">
        <v>14</v>
      </c>
      <c r="M12" s="297" t="s">
        <v>15</v>
      </c>
      <c r="N12" s="298" t="s">
        <v>16</v>
      </c>
      <c r="O12" s="306" t="s">
        <v>17</v>
      </c>
      <c r="P12" s="307" t="s">
        <v>18</v>
      </c>
      <c r="Q12" s="296" t="s">
        <v>19</v>
      </c>
      <c r="R12" s="299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0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08">
        <f t="shared" ref="O13:O33" si="0">AVERAGE(C13:N13)</f>
        <v>2.2904226002583559</v>
      </c>
      <c r="P13" s="309"/>
      <c r="Q13" s="305">
        <v>2.2904226002583599</v>
      </c>
      <c r="R13" s="300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1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0">
        <f t="shared" si="0"/>
        <v>3.5526797110992443</v>
      </c>
      <c r="P14" s="301">
        <f t="shared" ref="P14:P32" si="2">O14/O13-1</f>
        <v>0.55110227723849214</v>
      </c>
      <c r="Q14" s="109">
        <v>3.5526797110992399</v>
      </c>
      <c r="R14" s="301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1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0">
        <f t="shared" si="0"/>
        <v>4.1743780455492745</v>
      </c>
      <c r="P15" s="301">
        <f t="shared" si="2"/>
        <v>0.17499419734003241</v>
      </c>
      <c r="Q15" s="109">
        <v>4.1743780455492701</v>
      </c>
      <c r="R15" s="301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1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0">
        <f t="shared" si="0"/>
        <v>4.2268717162070173</v>
      </c>
      <c r="P16" s="301">
        <f t="shared" si="2"/>
        <v>1.2575207632119279E-2</v>
      </c>
      <c r="Q16" s="109">
        <v>4.22687171620702</v>
      </c>
      <c r="R16" s="301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1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0">
        <f t="shared" si="0"/>
        <v>4.12967634796897</v>
      </c>
      <c r="P17" s="301">
        <f t="shared" si="2"/>
        <v>-2.2994634037596384E-2</v>
      </c>
      <c r="Q17" s="109">
        <v>4.12967634796897</v>
      </c>
      <c r="R17" s="301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1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0">
        <f t="shared" si="0"/>
        <v>6.0084532018386945</v>
      </c>
      <c r="P18" s="301">
        <f t="shared" si="2"/>
        <v>0.45494530214062223</v>
      </c>
      <c r="Q18" s="109">
        <v>6.00845320183869</v>
      </c>
      <c r="R18" s="301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1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0">
        <f t="shared" si="0"/>
        <v>7.2103859089933167</v>
      </c>
      <c r="P19" s="301">
        <f t="shared" si="2"/>
        <v>0.20004028770446425</v>
      </c>
      <c r="Q19" s="109">
        <v>7.2103859089933202</v>
      </c>
      <c r="R19" s="301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1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0">
        <f t="shared" si="0"/>
        <v>5.0880669998940453</v>
      </c>
      <c r="P20" s="301">
        <f t="shared" si="2"/>
        <v>-0.29434193063815917</v>
      </c>
      <c r="Q20" s="109">
        <v>5.08806699989404</v>
      </c>
      <c r="R20" s="301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1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0">
        <f t="shared" si="0"/>
        <v>6.413251618205102</v>
      </c>
      <c r="P21" s="301">
        <f t="shared" si="2"/>
        <v>0.26044952205595018</v>
      </c>
      <c r="Q21" s="109">
        <v>6.4132516182051003</v>
      </c>
      <c r="R21" s="301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1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0">
        <f t="shared" si="0"/>
        <v>7.9008333333333356</v>
      </c>
      <c r="P22" s="301">
        <f t="shared" si="2"/>
        <v>0.23195436631637545</v>
      </c>
      <c r="Q22" s="109">
        <v>7.90083333333334</v>
      </c>
      <c r="R22" s="301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1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0">
        <f t="shared" si="0"/>
        <v>7.6266666666666678</v>
      </c>
      <c r="P23" s="301">
        <f t="shared" si="2"/>
        <v>-3.470098090918694E-2</v>
      </c>
      <c r="Q23" s="109">
        <v>7.62844568819063</v>
      </c>
      <c r="R23" s="301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1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0">
        <f t="shared" si="0"/>
        <v>8.5416666666666661</v>
      </c>
      <c r="P24" s="301">
        <f t="shared" si="2"/>
        <v>0.11997377622377603</v>
      </c>
      <c r="Q24" s="109">
        <v>8.6626261273719791</v>
      </c>
      <c r="R24" s="301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1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0">
        <f t="shared" si="0"/>
        <v>9.9091666666666658</v>
      </c>
      <c r="P25" s="301">
        <f t="shared" si="2"/>
        <v>0.16009756097560968</v>
      </c>
      <c r="Q25" s="109">
        <v>9.8467193524448096</v>
      </c>
      <c r="R25" s="301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1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0">
        <f t="shared" si="0"/>
        <v>8.1701585565261912</v>
      </c>
      <c r="P26" s="301">
        <f t="shared" si="2"/>
        <v>-0.17549488959453119</v>
      </c>
      <c r="Q26" s="109">
        <v>8.0352379802798097</v>
      </c>
      <c r="R26" s="301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1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0">
        <f t="shared" si="0"/>
        <v>8.4283333333333328</v>
      </c>
      <c r="P27" s="301">
        <f t="shared" si="2"/>
        <v>3.1599726617412616E-2</v>
      </c>
      <c r="Q27" s="109">
        <v>8.5429366604999597</v>
      </c>
      <c r="R27" s="301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2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0">
        <f t="shared" si="0"/>
        <v>9.7917967312294021</v>
      </c>
      <c r="P28" s="301">
        <f t="shared" si="2"/>
        <v>0.16177141363212222</v>
      </c>
      <c r="Q28" s="109">
        <v>9.7220277117414398</v>
      </c>
      <c r="R28" s="301">
        <f t="shared" si="3"/>
        <v>0.13801940692048587</v>
      </c>
      <c r="S28" s="69"/>
      <c r="T28" s="200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2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0">
        <f t="shared" si="0"/>
        <v>9.9502278694584572</v>
      </c>
      <c r="P29" s="301">
        <f t="shared" si="2"/>
        <v>1.6179986429228466E-2</v>
      </c>
      <c r="Q29" s="109">
        <v>9.9339523664547205</v>
      </c>
      <c r="R29" s="301">
        <f t="shared" si="3"/>
        <v>2.1798400600868018E-2</v>
      </c>
      <c r="S29" s="69"/>
      <c r="T29" s="200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2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0">
        <f t="shared" si="0"/>
        <v>10.718916666666667</v>
      </c>
      <c r="P30" s="301">
        <f t="shared" si="2"/>
        <v>7.7253386283508974E-2</v>
      </c>
      <c r="Q30" s="109">
        <v>10.7996763898577</v>
      </c>
      <c r="R30" s="301">
        <f t="shared" si="3"/>
        <v>8.7147994218935709E-2</v>
      </c>
      <c r="S30" s="69"/>
      <c r="T30" s="200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2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0">
        <f t="shared" si="0"/>
        <v>12.528128917978966</v>
      </c>
      <c r="P31" s="301">
        <f t="shared" si="2"/>
        <v>0.16878685669219995</v>
      </c>
      <c r="Q31" s="109">
        <v>12.560924151964199</v>
      </c>
      <c r="R31" s="301">
        <f t="shared" si="3"/>
        <v>0.16308338310586246</v>
      </c>
      <c r="S31" s="69"/>
      <c r="T31" s="200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2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0">
        <f t="shared" si="0"/>
        <v>15.13867991325629</v>
      </c>
      <c r="P32" s="301">
        <f t="shared" si="2"/>
        <v>0.20837517017652596</v>
      </c>
      <c r="Q32" s="109">
        <v>15.214640022568499</v>
      </c>
      <c r="R32" s="301">
        <f t="shared" si="3"/>
        <v>0.21126756586531314</v>
      </c>
      <c r="S32" s="69"/>
      <c r="T32" s="200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2">
        <v>2022</v>
      </c>
      <c r="C33" s="216">
        <v>15.91</v>
      </c>
      <c r="D33" s="216">
        <v>17.211752500934708</v>
      </c>
      <c r="E33" s="216">
        <v>17.776360207407869</v>
      </c>
      <c r="F33" s="216">
        <v>17.920605837801471</v>
      </c>
      <c r="G33" s="216">
        <v>17.810328417923383</v>
      </c>
      <c r="H33" s="216">
        <v>17.760328417923386</v>
      </c>
      <c r="I33" s="216">
        <v>17.48</v>
      </c>
      <c r="J33" s="216">
        <v>17.25</v>
      </c>
      <c r="K33" s="216">
        <v>17.099980940889377</v>
      </c>
      <c r="L33" s="216">
        <v>16.809999999999999</v>
      </c>
      <c r="M33" s="216">
        <v>16.53</v>
      </c>
      <c r="N33" s="216">
        <v>16.37</v>
      </c>
      <c r="O33" s="310">
        <f t="shared" si="0"/>
        <v>17.16077969357335</v>
      </c>
      <c r="P33" s="301">
        <f t="shared" ref="P33" si="6">O33/O32-1</f>
        <v>0.13357173755595397</v>
      </c>
      <c r="Q33" s="109">
        <v>17.128810924700328</v>
      </c>
      <c r="R33" s="301">
        <f t="shared" si="3"/>
        <v>0.12581112003257799</v>
      </c>
      <c r="S33" s="69"/>
      <c r="T33" s="200">
        <v>2022</v>
      </c>
      <c r="U33" s="217">
        <v>15.91</v>
      </c>
      <c r="V33" s="216">
        <v>17.21</v>
      </c>
      <c r="W33" s="216">
        <v>17.77</v>
      </c>
      <c r="X33" s="216">
        <v>17.920000000000002</v>
      </c>
      <c r="Y33" s="216">
        <v>17.809999999999999</v>
      </c>
      <c r="Z33" s="216">
        <v>17.760000000000002</v>
      </c>
      <c r="AA33" s="216">
        <v>17.48</v>
      </c>
      <c r="AB33" s="216">
        <v>17.25</v>
      </c>
      <c r="AC33" s="216">
        <v>17.100000000000001</v>
      </c>
      <c r="AD33" s="216">
        <v>16.809999999999999</v>
      </c>
      <c r="AE33" s="216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2">
        <v>2023</v>
      </c>
      <c r="C34" s="216">
        <v>16.57</v>
      </c>
      <c r="D34" s="216">
        <v>16.95</v>
      </c>
      <c r="E34" s="216">
        <v>17.200016658349792</v>
      </c>
      <c r="F34" s="216">
        <v>17.630013599253441</v>
      </c>
      <c r="G34" s="216">
        <v>17.61</v>
      </c>
      <c r="H34" s="216">
        <v>17.38</v>
      </c>
      <c r="I34" s="216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6">
        <v>14.07</v>
      </c>
      <c r="O34" s="310">
        <f t="shared" ref="O34:O35" si="9">AVERAGE(C34:N34)</f>
        <v>16.0435142820313</v>
      </c>
      <c r="P34" s="301">
        <f t="shared" ref="P34:P35" si="10">O34/O33-1</f>
        <v>-6.5105748776698169E-2</v>
      </c>
      <c r="Q34" s="109">
        <v>15.874417176752235</v>
      </c>
      <c r="R34" s="301">
        <f t="shared" ref="R34:R35" si="11">Q34/Q33-1</f>
        <v>-7.3232972998681145E-2</v>
      </c>
      <c r="S34" s="69"/>
      <c r="T34" s="200">
        <v>2023</v>
      </c>
      <c r="U34" s="217">
        <v>16.57</v>
      </c>
      <c r="V34" s="216">
        <v>16.95</v>
      </c>
      <c r="W34" s="216">
        <v>17.2</v>
      </c>
      <c r="X34" s="216">
        <v>17.63</v>
      </c>
      <c r="Y34" s="216">
        <v>17.61</v>
      </c>
      <c r="Z34" s="216">
        <v>17.38</v>
      </c>
      <c r="AA34" s="216">
        <v>17.399999999999999</v>
      </c>
      <c r="AB34" s="216">
        <v>14.28</v>
      </c>
      <c r="AC34" s="216">
        <v>14.16</v>
      </c>
      <c r="AD34" s="216">
        <v>14.44</v>
      </c>
      <c r="AE34" s="216">
        <v>14.26</v>
      </c>
      <c r="AF34" s="216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67" customFormat="1" ht="15" customHeight="1">
      <c r="A35" s="6"/>
      <c r="B35" s="292">
        <v>2024</v>
      </c>
      <c r="C35" s="216">
        <v>14.202466787634474</v>
      </c>
      <c r="D35" s="270">
        <v>15.434719101666696</v>
      </c>
      <c r="E35" s="270">
        <v>16.136467771275814</v>
      </c>
      <c r="F35" s="270">
        <v>16.291173494065244</v>
      </c>
      <c r="G35" s="270">
        <v>16.307808885434902</v>
      </c>
      <c r="H35" s="216">
        <v>15.35</v>
      </c>
      <c r="I35" s="270">
        <v>16.048750103626539</v>
      </c>
      <c r="J35" s="270">
        <v>16.257094942730532</v>
      </c>
      <c r="K35" s="270">
        <v>16.555598977904481</v>
      </c>
      <c r="L35" s="270">
        <v>16.268556828232569</v>
      </c>
      <c r="M35" s="273">
        <v>16.591860867115837</v>
      </c>
      <c r="N35" s="273">
        <v>17.254154066110118</v>
      </c>
      <c r="O35" s="310">
        <f t="shared" si="9"/>
        <v>16.0582209854831</v>
      </c>
      <c r="P35" s="301">
        <f t="shared" si="10"/>
        <v>9.166759347900566E-4</v>
      </c>
      <c r="Q35" s="109">
        <v>16.016693895868457</v>
      </c>
      <c r="R35" s="301">
        <f t="shared" si="11"/>
        <v>8.9626420631419013E-3</v>
      </c>
      <c r="S35" s="69"/>
      <c r="T35" s="200">
        <v>2024</v>
      </c>
      <c r="U35" s="217">
        <v>14.2</v>
      </c>
      <c r="V35" s="216">
        <v>14.99</v>
      </c>
      <c r="W35" s="216">
        <v>15.69</v>
      </c>
      <c r="X35" s="216">
        <v>15.84</v>
      </c>
      <c r="Y35" s="216">
        <v>15.85</v>
      </c>
      <c r="Z35" s="216">
        <v>15.35</v>
      </c>
      <c r="AA35" s="216">
        <v>15.35</v>
      </c>
      <c r="AB35" s="216">
        <v>15.23</v>
      </c>
      <c r="AC35" s="216">
        <v>15.53</v>
      </c>
      <c r="AD35" s="216">
        <v>15.24</v>
      </c>
      <c r="AE35" s="216">
        <v>16.02</v>
      </c>
      <c r="AF35" s="216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69" customFormat="1" ht="15" customHeight="1">
      <c r="A36" s="195"/>
      <c r="B36" s="293">
        <v>2025</v>
      </c>
      <c r="C36" s="273">
        <v>18.134875224364666</v>
      </c>
      <c r="D36" s="273">
        <v>18.055108499168696</v>
      </c>
      <c r="E36" s="273">
        <v>18.381820583265164</v>
      </c>
      <c r="F36" s="273">
        <v>18.21962865654822</v>
      </c>
      <c r="G36" s="273">
        <v>17.910545122656139</v>
      </c>
      <c r="H36" s="216">
        <v>17.823437113366513</v>
      </c>
      <c r="I36" s="216">
        <v>17.60667227152063</v>
      </c>
      <c r="J36" s="216">
        <v>17.360172130174671</v>
      </c>
      <c r="K36" s="216">
        <v>17.379344958474494</v>
      </c>
      <c r="L36" s="216">
        <v>17.028347887022893</v>
      </c>
      <c r="M36" s="216">
        <v>16.817321827093544</v>
      </c>
      <c r="N36" s="216">
        <v>16.666737003816007</v>
      </c>
      <c r="O36" s="311">
        <v>17.531654337842706</v>
      </c>
      <c r="P36" s="302">
        <f t="shared" ref="P36" si="14">O36/O35-1</f>
        <v>9.1755702807404083E-2</v>
      </c>
      <c r="Q36" s="288">
        <v>17.54025600489415</v>
      </c>
      <c r="R36" s="302">
        <f>Q36/Q35-1</f>
        <v>9.5123383073375756E-2</v>
      </c>
      <c r="S36" s="289"/>
      <c r="T36" s="293">
        <v>2025</v>
      </c>
      <c r="U36" s="217">
        <v>16.87</v>
      </c>
      <c r="V36" s="216">
        <v>17.239999999999998</v>
      </c>
      <c r="W36" s="216">
        <v>17.61</v>
      </c>
      <c r="X36" s="216">
        <v>18.010000000000002</v>
      </c>
      <c r="Y36" s="216">
        <v>17.7</v>
      </c>
      <c r="Z36" s="216">
        <v>17.82</v>
      </c>
      <c r="AA36" s="216">
        <v>17.57</v>
      </c>
      <c r="AB36" s="216">
        <v>17.34</v>
      </c>
      <c r="AC36" s="216">
        <v>17.36</v>
      </c>
      <c r="AD36" s="216">
        <v>17.010000000000002</v>
      </c>
      <c r="AE36" s="216">
        <v>16.809999999999999</v>
      </c>
      <c r="AF36" s="216">
        <v>16.66</v>
      </c>
      <c r="AG36" s="311">
        <v>17.300494927115889</v>
      </c>
      <c r="AH36" s="302">
        <f t="shared" ref="AH36:AJ36" si="15">AG36/AG35-1</f>
        <v>0.11742256916621274</v>
      </c>
      <c r="AI36" s="288">
        <v>17.315775047264474</v>
      </c>
      <c r="AJ36" s="302">
        <f t="shared" si="15"/>
        <v>0.11761099371635853</v>
      </c>
      <c r="AK36" s="268"/>
    </row>
    <row r="37" spans="1:37" s="269" customFormat="1" ht="15" customHeight="1" thickBot="1">
      <c r="A37" s="196"/>
      <c r="B37" s="294">
        <v>2026</v>
      </c>
      <c r="C37" s="339">
        <v>16.087724443768948</v>
      </c>
      <c r="D37" s="340">
        <v>16.511849716258542</v>
      </c>
      <c r="E37" s="340">
        <v>16.88282948579424</v>
      </c>
      <c r="F37" s="303"/>
      <c r="G37" s="303"/>
      <c r="H37" s="303"/>
      <c r="I37" s="303"/>
      <c r="J37" s="303"/>
      <c r="K37" s="303"/>
      <c r="L37" s="303"/>
      <c r="M37" s="303"/>
      <c r="N37" s="303"/>
      <c r="O37" s="312"/>
      <c r="P37" s="304"/>
      <c r="Q37" s="303"/>
      <c r="R37" s="304"/>
      <c r="S37" s="289"/>
      <c r="T37" s="294">
        <v>2026</v>
      </c>
      <c r="U37" s="339">
        <v>16.087724443768948</v>
      </c>
      <c r="V37" s="341">
        <v>16.511849716258542</v>
      </c>
      <c r="W37" s="341">
        <v>16.88282948579424</v>
      </c>
      <c r="X37" s="303"/>
      <c r="Y37" s="303"/>
      <c r="Z37" s="303"/>
      <c r="AA37" s="303"/>
      <c r="AB37" s="303"/>
      <c r="AC37" s="303"/>
      <c r="AD37" s="303"/>
      <c r="AE37" s="303"/>
      <c r="AF37" s="303"/>
      <c r="AG37" s="312"/>
      <c r="AH37" s="304"/>
      <c r="AI37" s="303"/>
      <c r="AJ37" s="304"/>
      <c r="AK37" s="198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1"/>
      <c r="R40" s="261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1"/>
      <c r="M41" s="261"/>
      <c r="N41" s="261"/>
      <c r="O41" s="261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>
        <v>16.666737003816007</v>
      </c>
      <c r="U44" s="7">
        <v>6.7370038160060441E-3</v>
      </c>
      <c r="V44" s="7">
        <v>16.66</v>
      </c>
      <c r="W44" s="7">
        <v>0.42572574021854981</v>
      </c>
      <c r="X44" s="7">
        <v>0.42555365398860762</v>
      </c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55"/>
      <c r="C45" s="356"/>
      <c r="D45" s="356"/>
      <c r="E45" s="357"/>
      <c r="F45" s="357"/>
      <c r="G45" s="357"/>
      <c r="H45" s="357"/>
      <c r="I45" s="357"/>
      <c r="J45" s="357"/>
      <c r="K45" s="357"/>
      <c r="L45" s="357"/>
      <c r="M45" s="357"/>
      <c r="N45" s="356"/>
      <c r="O45" s="356"/>
      <c r="P45" s="356"/>
      <c r="Q45" s="356"/>
      <c r="R45" s="356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52" t="s">
        <v>97</v>
      </c>
      <c r="F46" s="353"/>
      <c r="G46" s="353"/>
      <c r="H46" s="353"/>
      <c r="I46" s="353"/>
      <c r="J46" s="353"/>
      <c r="K46" s="353"/>
      <c r="L46" s="353"/>
      <c r="M46" s="354"/>
      <c r="N46" s="70"/>
      <c r="O46" s="7"/>
      <c r="P46" s="7"/>
      <c r="Q46" s="7"/>
      <c r="R46" s="7"/>
      <c r="S46" s="7"/>
      <c r="T46" s="71"/>
      <c r="U46" s="7"/>
      <c r="V46" s="69"/>
      <c r="W46" s="349" t="s">
        <v>25</v>
      </c>
      <c r="X46" s="350"/>
      <c r="Y46" s="350"/>
      <c r="Z46" s="350"/>
      <c r="AA46" s="350"/>
      <c r="AB46" s="350"/>
      <c r="AC46" s="350"/>
      <c r="AD46" s="350"/>
      <c r="AE46" s="351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4" t="s">
        <v>4</v>
      </c>
      <c r="C48" s="315" t="s">
        <v>5</v>
      </c>
      <c r="D48" s="316" t="s">
        <v>6</v>
      </c>
      <c r="E48" s="316" t="s">
        <v>7</v>
      </c>
      <c r="F48" s="316" t="s">
        <v>8</v>
      </c>
      <c r="G48" s="316" t="s">
        <v>9</v>
      </c>
      <c r="H48" s="316" t="s">
        <v>10</v>
      </c>
      <c r="I48" s="316" t="s">
        <v>11</v>
      </c>
      <c r="J48" s="316" t="s">
        <v>12</v>
      </c>
      <c r="K48" s="316" t="s">
        <v>13</v>
      </c>
      <c r="L48" s="316" t="s">
        <v>14</v>
      </c>
      <c r="M48" s="316" t="s">
        <v>15</v>
      </c>
      <c r="N48" s="317" t="s">
        <v>16</v>
      </c>
      <c r="O48" s="315" t="s">
        <v>17</v>
      </c>
      <c r="P48" s="317" t="s">
        <v>18</v>
      </c>
      <c r="Q48" s="315" t="s">
        <v>19</v>
      </c>
      <c r="R48" s="317" t="s">
        <v>18</v>
      </c>
      <c r="S48" s="26"/>
      <c r="T48" s="326" t="s">
        <v>4</v>
      </c>
      <c r="U48" s="315" t="s">
        <v>5</v>
      </c>
      <c r="V48" s="316" t="s">
        <v>6</v>
      </c>
      <c r="W48" s="316" t="s">
        <v>7</v>
      </c>
      <c r="X48" s="316" t="s">
        <v>8</v>
      </c>
      <c r="Y48" s="316" t="s">
        <v>9</v>
      </c>
      <c r="Z48" s="316" t="s">
        <v>10</v>
      </c>
      <c r="AA48" s="316" t="s">
        <v>11</v>
      </c>
      <c r="AB48" s="316" t="s">
        <v>12</v>
      </c>
      <c r="AC48" s="316" t="s">
        <v>13</v>
      </c>
      <c r="AD48" s="316" t="s">
        <v>14</v>
      </c>
      <c r="AE48" s="316" t="s">
        <v>15</v>
      </c>
      <c r="AF48" s="317" t="s">
        <v>16</v>
      </c>
      <c r="AG48" s="315" t="s">
        <v>17</v>
      </c>
      <c r="AH48" s="317" t="s">
        <v>18</v>
      </c>
      <c r="AI48" s="315" t="s">
        <v>19</v>
      </c>
      <c r="AJ48" s="317" t="s">
        <v>18</v>
      </c>
      <c r="AK48" s="74"/>
    </row>
    <row r="49" spans="1:37" ht="14.4" customHeight="1">
      <c r="A49" s="6"/>
      <c r="B49" s="290">
        <v>2002</v>
      </c>
      <c r="C49" s="318">
        <v>0.128372445138622</v>
      </c>
      <c r="D49" s="319">
        <v>0.13241341314473401</v>
      </c>
      <c r="E49" s="319">
        <v>0.134449440735286</v>
      </c>
      <c r="F49" s="319">
        <v>0.13386664897682399</v>
      </c>
      <c r="G49" s="319">
        <v>0.12846626333542099</v>
      </c>
      <c r="H49" s="319">
        <v>0.123396074786911</v>
      </c>
      <c r="I49" s="319">
        <v>9.7693227490055295E-2</v>
      </c>
      <c r="J49" s="319">
        <v>9.1655866459007404E-2</v>
      </c>
      <c r="K49" s="319">
        <v>8.3379441322114903E-2</v>
      </c>
      <c r="L49" s="319">
        <v>0.102887441623494</v>
      </c>
      <c r="M49" s="319">
        <v>9.2343199852855801E-2</v>
      </c>
      <c r="N49" s="319">
        <v>9.9787452610928404E-2</v>
      </c>
      <c r="O49" s="308">
        <f t="shared" ref="O49:O68" si="16">AVERAGE(C49:N49)</f>
        <v>0.1123925762896878</v>
      </c>
      <c r="P49" s="309"/>
      <c r="Q49" s="324">
        <v>0.111068876859216</v>
      </c>
      <c r="R49" s="309"/>
      <c r="S49" s="7"/>
      <c r="T49" s="327">
        <v>2002</v>
      </c>
      <c r="U49" s="319">
        <v>0.128372445138622</v>
      </c>
      <c r="V49" s="319">
        <v>0.13241341314473401</v>
      </c>
      <c r="W49" s="319">
        <v>0.134449440735286</v>
      </c>
      <c r="X49" s="319">
        <v>0.13386664897682399</v>
      </c>
      <c r="Y49" s="319">
        <v>0.12846626333542099</v>
      </c>
      <c r="Z49" s="319">
        <v>0.123396074786911</v>
      </c>
      <c r="AA49" s="319">
        <v>9.7693227490055295E-2</v>
      </c>
      <c r="AB49" s="319">
        <v>9.1655866459007404E-2</v>
      </c>
      <c r="AC49" s="319">
        <v>8.3379441322114903E-2</v>
      </c>
      <c r="AD49" s="319">
        <v>0.102887441623494</v>
      </c>
      <c r="AE49" s="319">
        <v>9.2343199852855801E-2</v>
      </c>
      <c r="AF49" s="319">
        <v>9.9787452610928404E-2</v>
      </c>
      <c r="AG49" s="308">
        <f t="shared" ref="AG49:AG70" si="17">AVERAGE(U49:AF49)</f>
        <v>0.1123925762896878</v>
      </c>
      <c r="AH49" s="309"/>
      <c r="AI49" s="324">
        <v>0.111068876859216</v>
      </c>
      <c r="AJ49" s="309"/>
      <c r="AK49" s="325"/>
    </row>
    <row r="50" spans="1:37" ht="14.4" customHeight="1">
      <c r="A50" s="6"/>
      <c r="B50" s="291">
        <v>2003</v>
      </c>
      <c r="C50" s="320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0">
        <f t="shared" si="16"/>
        <v>0.12607327169791874</v>
      </c>
      <c r="P50" s="301">
        <f t="shared" ref="P50:P68" si="18">O50/O49-1</f>
        <v>0.121722411389249</v>
      </c>
      <c r="Q50" s="109">
        <v>0.12691891171451999</v>
      </c>
      <c r="R50" s="301">
        <f t="shared" ref="R50:R68" si="19">Q50/Q49-1</f>
        <v>0.14270455687955241</v>
      </c>
      <c r="S50" s="7"/>
      <c r="T50" s="328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0">
        <f t="shared" si="17"/>
        <v>0.12607327169791874</v>
      </c>
      <c r="AH50" s="301">
        <f t="shared" ref="AH50:AJ71" si="20">AG50/AG49-1</f>
        <v>0.121722411389249</v>
      </c>
      <c r="AI50" s="109">
        <v>0.12691891171451999</v>
      </c>
      <c r="AJ50" s="301">
        <f t="shared" ref="AJ50:AJ68" si="21">AI50/AI49-1</f>
        <v>0.14270455687955241</v>
      </c>
      <c r="AK50" s="9"/>
    </row>
    <row r="51" spans="1:37" ht="14.4" customHeight="1">
      <c r="A51" s="6"/>
      <c r="B51" s="291">
        <v>2004</v>
      </c>
      <c r="C51" s="320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0">
        <f t="shared" si="16"/>
        <v>0.14574238407361026</v>
      </c>
      <c r="P51" s="301">
        <f t="shared" si="18"/>
        <v>0.15601334137516654</v>
      </c>
      <c r="Q51" s="109">
        <v>0.14691818383174399</v>
      </c>
      <c r="R51" s="301">
        <f t="shared" si="19"/>
        <v>0.15757519385454999</v>
      </c>
      <c r="S51" s="7"/>
      <c r="T51" s="328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0">
        <f t="shared" si="17"/>
        <v>0.14574238407361026</v>
      </c>
      <c r="AH51" s="301">
        <f t="shared" si="20"/>
        <v>0.15601334137516654</v>
      </c>
      <c r="AI51" s="109">
        <v>0.14691818383174399</v>
      </c>
      <c r="AJ51" s="301">
        <f t="shared" si="21"/>
        <v>0.15757519385454999</v>
      </c>
      <c r="AK51" s="9"/>
    </row>
    <row r="52" spans="1:37" ht="14.4" customHeight="1">
      <c r="A52" s="6"/>
      <c r="B52" s="291">
        <v>2005</v>
      </c>
      <c r="C52" s="320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0">
        <f t="shared" si="16"/>
        <v>0.17279418487470519</v>
      </c>
      <c r="P52" s="301">
        <f t="shared" si="18"/>
        <v>0.18561382107919844</v>
      </c>
      <c r="Q52" s="109">
        <v>0.17319959752118</v>
      </c>
      <c r="R52" s="301">
        <f t="shared" si="19"/>
        <v>0.17888468945092884</v>
      </c>
      <c r="S52" s="7"/>
      <c r="T52" s="328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0">
        <f t="shared" si="17"/>
        <v>0.17279418487470519</v>
      </c>
      <c r="AH52" s="301">
        <f t="shared" si="20"/>
        <v>0.18561382107919844</v>
      </c>
      <c r="AI52" s="109">
        <v>0.17319959752118</v>
      </c>
      <c r="AJ52" s="301">
        <f t="shared" si="21"/>
        <v>0.17888468945092884</v>
      </c>
      <c r="AK52" s="9"/>
    </row>
    <row r="53" spans="1:37" ht="14.4" customHeight="1">
      <c r="A53" s="6"/>
      <c r="B53" s="291">
        <v>2006</v>
      </c>
      <c r="C53" s="320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0">
        <f t="shared" si="16"/>
        <v>0.17157503060509141</v>
      </c>
      <c r="P53" s="301">
        <f t="shared" si="18"/>
        <v>-7.0555283471940289E-3</v>
      </c>
      <c r="Q53" s="109">
        <v>0.17005578456324</v>
      </c>
      <c r="R53" s="301">
        <f t="shared" si="19"/>
        <v>-1.8151387202591795E-2</v>
      </c>
      <c r="S53" s="7"/>
      <c r="T53" s="328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0">
        <f t="shared" si="17"/>
        <v>0.17157503060509141</v>
      </c>
      <c r="AH53" s="301">
        <f t="shared" si="20"/>
        <v>-7.0555283471940289E-3</v>
      </c>
      <c r="AI53" s="109">
        <v>0.17005578456324</v>
      </c>
      <c r="AJ53" s="301">
        <f t="shared" si="21"/>
        <v>-1.8151387202591795E-2</v>
      </c>
      <c r="AK53" s="9"/>
    </row>
    <row r="54" spans="1:37" ht="14.4" customHeight="1">
      <c r="A54" s="6"/>
      <c r="B54" s="291">
        <v>2007</v>
      </c>
      <c r="C54" s="320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0">
        <f t="shared" si="16"/>
        <v>0.25817706117545897</v>
      </c>
      <c r="P54" s="301">
        <f t="shared" si="18"/>
        <v>0.50474728324365903</v>
      </c>
      <c r="Q54" s="109">
        <v>0.26607669681185703</v>
      </c>
      <c r="R54" s="301">
        <f t="shared" si="19"/>
        <v>0.56464361089057191</v>
      </c>
      <c r="S54" s="7"/>
      <c r="T54" s="328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0">
        <f t="shared" si="17"/>
        <v>0.25817706117545897</v>
      </c>
      <c r="AH54" s="301">
        <f t="shared" si="20"/>
        <v>0.50474728324365903</v>
      </c>
      <c r="AI54" s="109">
        <v>0.26607669681185703</v>
      </c>
      <c r="AJ54" s="301">
        <f t="shared" si="21"/>
        <v>0.56464361089057191</v>
      </c>
      <c r="AK54" s="9"/>
    </row>
    <row r="55" spans="1:37" ht="14.4" customHeight="1">
      <c r="A55" s="6"/>
      <c r="B55" s="291">
        <v>2008</v>
      </c>
      <c r="C55" s="320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0">
        <f t="shared" si="16"/>
        <v>0.35016013743502383</v>
      </c>
      <c r="P55" s="301">
        <f t="shared" si="18"/>
        <v>0.35627904292028689</v>
      </c>
      <c r="Q55" s="109">
        <v>0.33952464426128998</v>
      </c>
      <c r="R55" s="301">
        <f t="shared" si="19"/>
        <v>0.27604051136191021</v>
      </c>
      <c r="S55" s="7"/>
      <c r="T55" s="328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0">
        <f t="shared" si="17"/>
        <v>0.35016013743502383</v>
      </c>
      <c r="AH55" s="301">
        <f t="shared" si="20"/>
        <v>0.35627904292028689</v>
      </c>
      <c r="AI55" s="109">
        <v>0.33952464426128998</v>
      </c>
      <c r="AJ55" s="301">
        <f t="shared" si="21"/>
        <v>0.27604051136191021</v>
      </c>
      <c r="AK55" s="9"/>
    </row>
    <row r="56" spans="1:37" ht="14.4" customHeight="1">
      <c r="A56" s="6"/>
      <c r="B56" s="291">
        <v>2009</v>
      </c>
      <c r="C56" s="320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0">
        <f t="shared" si="16"/>
        <v>0.22706280750772864</v>
      </c>
      <c r="P56" s="301">
        <f t="shared" si="18"/>
        <v>-0.35154581223608672</v>
      </c>
      <c r="Q56" s="109">
        <v>0.230222803200861</v>
      </c>
      <c r="R56" s="301">
        <f t="shared" si="19"/>
        <v>-0.32192608963110469</v>
      </c>
      <c r="S56" s="7"/>
      <c r="T56" s="328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0">
        <f t="shared" si="17"/>
        <v>0.22706280750772864</v>
      </c>
      <c r="AH56" s="301">
        <f t="shared" si="20"/>
        <v>-0.35154581223608672</v>
      </c>
      <c r="AI56" s="109">
        <v>0.230222803200861</v>
      </c>
      <c r="AJ56" s="301">
        <f t="shared" si="21"/>
        <v>-0.32192608963110469</v>
      </c>
      <c r="AK56" s="9"/>
    </row>
    <row r="57" spans="1:37" ht="14.4" customHeight="1">
      <c r="A57" s="6"/>
      <c r="B57" s="291">
        <v>2010</v>
      </c>
      <c r="C57" s="320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0">
        <f t="shared" si="16"/>
        <v>0.31984518389594646</v>
      </c>
      <c r="P57" s="301">
        <f t="shared" si="18"/>
        <v>0.40861987661744092</v>
      </c>
      <c r="Q57" s="109">
        <v>0.32018425988215998</v>
      </c>
      <c r="R57" s="301">
        <f t="shared" si="19"/>
        <v>0.3907582369362903</v>
      </c>
      <c r="S57" s="7"/>
      <c r="T57" s="328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0">
        <f t="shared" si="17"/>
        <v>0.31984518389594646</v>
      </c>
      <c r="AH57" s="301">
        <f t="shared" si="20"/>
        <v>0.40861987661744092</v>
      </c>
      <c r="AI57" s="109">
        <v>0.32018425988215998</v>
      </c>
      <c r="AJ57" s="301">
        <f t="shared" si="21"/>
        <v>0.3907582369362903</v>
      </c>
      <c r="AK57" s="9"/>
    </row>
    <row r="58" spans="1:37" ht="14.4" customHeight="1">
      <c r="A58" s="6"/>
      <c r="B58" s="291">
        <v>2011</v>
      </c>
      <c r="C58" s="320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0">
        <f t="shared" si="16"/>
        <v>0.40988489993539617</v>
      </c>
      <c r="P58" s="301">
        <f t="shared" si="18"/>
        <v>0.28151030740153926</v>
      </c>
      <c r="Q58" s="109">
        <v>0.40811971389561402</v>
      </c>
      <c r="R58" s="301">
        <f t="shared" si="19"/>
        <v>0.27464015266027642</v>
      </c>
      <c r="S58" s="7"/>
      <c r="T58" s="328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0">
        <f t="shared" si="17"/>
        <v>0.40988489993539617</v>
      </c>
      <c r="AH58" s="301">
        <f t="shared" si="20"/>
        <v>0.28151030740153926</v>
      </c>
      <c r="AI58" s="109">
        <v>0.40811971389561402</v>
      </c>
      <c r="AJ58" s="301">
        <f t="shared" si="21"/>
        <v>0.27464015266027642</v>
      </c>
      <c r="AK58" s="9"/>
    </row>
    <row r="59" spans="1:37" ht="14.4" customHeight="1">
      <c r="A59" s="6"/>
      <c r="B59" s="291">
        <v>2012</v>
      </c>
      <c r="C59" s="320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0">
        <f t="shared" si="16"/>
        <v>0.37623027710926316</v>
      </c>
      <c r="P59" s="301">
        <f t="shared" si="18"/>
        <v>-8.2107496107901246E-2</v>
      </c>
      <c r="Q59" s="109">
        <v>0.37415475605069098</v>
      </c>
      <c r="R59" s="301">
        <f t="shared" si="19"/>
        <v>-8.3223026696550018E-2</v>
      </c>
      <c r="S59" s="7"/>
      <c r="T59" s="328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0">
        <f t="shared" si="17"/>
        <v>0.37623027710926316</v>
      </c>
      <c r="AH59" s="301">
        <f t="shared" si="20"/>
        <v>-8.2107496107901246E-2</v>
      </c>
      <c r="AI59" s="109">
        <v>0.37415475605069098</v>
      </c>
      <c r="AJ59" s="301">
        <f t="shared" si="21"/>
        <v>-8.3223026696550018E-2</v>
      </c>
      <c r="AK59" s="9"/>
    </row>
    <row r="60" spans="1:37" ht="14.4" customHeight="1">
      <c r="A60" s="6"/>
      <c r="B60" s="291">
        <v>2013</v>
      </c>
      <c r="C60" s="320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0">
        <f t="shared" si="16"/>
        <v>0.41706190783437663</v>
      </c>
      <c r="P60" s="301">
        <f t="shared" si="18"/>
        <v>0.10852829559290189</v>
      </c>
      <c r="Q60" s="109">
        <v>0.41937677654780298</v>
      </c>
      <c r="R60" s="301">
        <f t="shared" si="19"/>
        <v>0.12086448124953209</v>
      </c>
      <c r="S60" s="7"/>
      <c r="T60" s="328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0">
        <f t="shared" si="17"/>
        <v>0.41706190783437663</v>
      </c>
      <c r="AH60" s="301">
        <f t="shared" si="20"/>
        <v>0.10852829559290189</v>
      </c>
      <c r="AI60" s="109">
        <v>0.41937677654780298</v>
      </c>
      <c r="AJ60" s="301">
        <f t="shared" si="21"/>
        <v>0.12086448124953209</v>
      </c>
      <c r="AK60" s="9"/>
    </row>
    <row r="61" spans="1:37" ht="14.4" customHeight="1">
      <c r="A61" s="6"/>
      <c r="B61" s="291">
        <v>2014</v>
      </c>
      <c r="C61" s="320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0">
        <f t="shared" si="16"/>
        <v>0.42728878975602091</v>
      </c>
      <c r="P61" s="301">
        <f t="shared" si="18"/>
        <v>2.4521256268039693E-2</v>
      </c>
      <c r="Q61" s="109">
        <v>0.42264838225031998</v>
      </c>
      <c r="R61" s="301">
        <f t="shared" si="19"/>
        <v>7.8011131885937779E-3</v>
      </c>
      <c r="S61" s="7"/>
      <c r="T61" s="328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0">
        <f t="shared" si="17"/>
        <v>0.42728878975602091</v>
      </c>
      <c r="AH61" s="301">
        <f t="shared" si="20"/>
        <v>2.4521256268039693E-2</v>
      </c>
      <c r="AI61" s="109">
        <v>0.42264838225031998</v>
      </c>
      <c r="AJ61" s="301">
        <f t="shared" si="21"/>
        <v>7.8011131885937779E-3</v>
      </c>
      <c r="AK61" s="9"/>
    </row>
    <row r="62" spans="1:37" ht="14.4" customHeight="1">
      <c r="A62" s="6"/>
      <c r="B62" s="291">
        <v>2015</v>
      </c>
      <c r="C62" s="320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0">
        <f t="shared" si="16"/>
        <v>0.30198126267403297</v>
      </c>
      <c r="P62" s="301">
        <f t="shared" si="18"/>
        <v>-0.2932619111152851</v>
      </c>
      <c r="Q62" s="109">
        <v>0.29484615928250701</v>
      </c>
      <c r="R62" s="301">
        <f t="shared" si="19"/>
        <v>-0.30238427102773136</v>
      </c>
      <c r="S62" s="7"/>
      <c r="T62" s="328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0">
        <f t="shared" si="17"/>
        <v>0.30198126267403297</v>
      </c>
      <c r="AH62" s="301">
        <f t="shared" si="20"/>
        <v>-0.2932619111152851</v>
      </c>
      <c r="AI62" s="109">
        <v>0.29484615928250701</v>
      </c>
      <c r="AJ62" s="301">
        <f t="shared" si="21"/>
        <v>-0.30238427102773136</v>
      </c>
      <c r="AK62" s="9"/>
    </row>
    <row r="63" spans="1:37" ht="14.4" customHeight="1">
      <c r="A63" s="6"/>
      <c r="B63" s="291">
        <v>2016</v>
      </c>
      <c r="C63" s="320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0">
        <f t="shared" si="16"/>
        <v>0.280697814641022</v>
      </c>
      <c r="P63" s="301">
        <f t="shared" si="18"/>
        <v>-7.0479366317455661E-2</v>
      </c>
      <c r="Q63" s="109">
        <v>0.28465729192526501</v>
      </c>
      <c r="R63" s="301">
        <f t="shared" si="19"/>
        <v>-3.45565544487203E-2</v>
      </c>
      <c r="S63" s="7"/>
      <c r="T63" s="328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0">
        <f t="shared" si="17"/>
        <v>0.28068374369017574</v>
      </c>
      <c r="AH63" s="301">
        <f t="shared" si="20"/>
        <v>-7.0525961760900313E-2</v>
      </c>
      <c r="AI63" s="109">
        <v>0.28465729192526501</v>
      </c>
      <c r="AJ63" s="301">
        <f t="shared" si="21"/>
        <v>-3.45565544487203E-2</v>
      </c>
      <c r="AK63" s="9"/>
    </row>
    <row r="64" spans="1:37" ht="14.4" customHeight="1">
      <c r="A64" s="6"/>
      <c r="B64" s="292">
        <v>2017</v>
      </c>
      <c r="C64" s="320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0">
        <f t="shared" si="16"/>
        <v>0.34158503910440524</v>
      </c>
      <c r="P64" s="301">
        <f t="shared" si="18"/>
        <v>0.21691378160977326</v>
      </c>
      <c r="Q64" s="109">
        <v>0.33864532425546001</v>
      </c>
      <c r="R64" s="301">
        <f t="shared" si="19"/>
        <v>0.18965975529750079</v>
      </c>
      <c r="S64" s="7"/>
      <c r="T64" s="292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0">
        <f t="shared" si="17"/>
        <v>0.3396558141457085</v>
      </c>
      <c r="AH64" s="301">
        <f t="shared" si="20"/>
        <v>0.21010148176100762</v>
      </c>
      <c r="AI64" s="109">
        <v>0.33864532425546001</v>
      </c>
      <c r="AJ64" s="301">
        <f t="shared" si="21"/>
        <v>0.18965975529750079</v>
      </c>
      <c r="AK64" s="9"/>
    </row>
    <row r="65" spans="1:37" ht="14.4" customHeight="1">
      <c r="A65" s="6"/>
      <c r="B65" s="292">
        <v>2018</v>
      </c>
      <c r="C65" s="321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0">
        <f t="shared" si="16"/>
        <v>0.32510052452938304</v>
      </c>
      <c r="P65" s="301">
        <f t="shared" si="18"/>
        <v>-4.8258889260029081E-2</v>
      </c>
      <c r="Q65" s="109">
        <v>0.32229745657187803</v>
      </c>
      <c r="R65" s="301">
        <f t="shared" si="19"/>
        <v>-4.8274305040307719E-2</v>
      </c>
      <c r="S65" s="7"/>
      <c r="T65" s="292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0">
        <f t="shared" si="17"/>
        <v>0.32232426477271819</v>
      </c>
      <c r="AH65" s="301">
        <f t="shared" si="20"/>
        <v>-5.1026800222990665E-2</v>
      </c>
      <c r="AI65" s="109">
        <v>0.319792087502487</v>
      </c>
      <c r="AJ65" s="301">
        <f t="shared" si="21"/>
        <v>-5.5672514582693289E-2</v>
      </c>
      <c r="AK65" s="9"/>
    </row>
    <row r="66" spans="1:37" ht="14.4" customHeight="1">
      <c r="A66" s="6"/>
      <c r="B66" s="292">
        <v>2019</v>
      </c>
      <c r="C66" s="320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0">
        <f t="shared" si="16"/>
        <v>0.30388347724426534</v>
      </c>
      <c r="P66" s="301">
        <f t="shared" si="18"/>
        <v>-6.5263036151146148E-2</v>
      </c>
      <c r="Q66" s="109">
        <v>0.30410499557590598</v>
      </c>
      <c r="R66" s="301">
        <f t="shared" si="19"/>
        <v>-5.6446182323237837E-2</v>
      </c>
      <c r="S66" s="7"/>
      <c r="T66" s="292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0">
        <f t="shared" si="17"/>
        <v>0.30030095056130407</v>
      </c>
      <c r="AH66" s="301">
        <f t="shared" si="20"/>
        <v>-6.8326578599174126E-2</v>
      </c>
      <c r="AI66" s="109">
        <v>0.30046525273006602</v>
      </c>
      <c r="AJ66" s="301">
        <f t="shared" si="21"/>
        <v>-6.0435625294420925E-2</v>
      </c>
      <c r="AK66" s="9"/>
    </row>
    <row r="67" spans="1:37" ht="14.4" customHeight="1">
      <c r="A67" s="6"/>
      <c r="B67" s="292">
        <v>2020</v>
      </c>
      <c r="C67" s="321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0">
        <f t="shared" si="16"/>
        <v>0.29883788698993852</v>
      </c>
      <c r="P67" s="301">
        <f t="shared" si="18"/>
        <v>-1.6603700537068389E-2</v>
      </c>
      <c r="Q67" s="109">
        <v>0.29874128780418102</v>
      </c>
      <c r="R67" s="301">
        <f t="shared" si="19"/>
        <v>-1.7637683858390152E-2</v>
      </c>
      <c r="S67" s="7"/>
      <c r="T67" s="292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0">
        <f t="shared" si="17"/>
        <v>0.29431054299789616</v>
      </c>
      <c r="AH67" s="301">
        <f t="shared" si="20"/>
        <v>-1.994801399133439E-2</v>
      </c>
      <c r="AI67" s="109">
        <v>0.29427909496996102</v>
      </c>
      <c r="AJ67" s="301">
        <f t="shared" si="21"/>
        <v>-2.0588596198384934E-2</v>
      </c>
      <c r="AK67" s="9"/>
    </row>
    <row r="68" spans="1:37" ht="14.4" customHeight="1">
      <c r="A68" s="6"/>
      <c r="B68" s="292">
        <v>2021</v>
      </c>
      <c r="C68" s="321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0">
        <f t="shared" si="16"/>
        <v>0.34754642545719666</v>
      </c>
      <c r="P68" s="301">
        <f t="shared" si="18"/>
        <v>0.16299318322009859</v>
      </c>
      <c r="Q68" s="109">
        <v>0.34930739892531898</v>
      </c>
      <c r="R68" s="301">
        <f t="shared" si="19"/>
        <v>0.16926388546026172</v>
      </c>
      <c r="S68" s="7"/>
      <c r="T68" s="292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0">
        <f t="shared" si="17"/>
        <v>0.34130711707315192</v>
      </c>
      <c r="AH68" s="301">
        <f t="shared" si="20"/>
        <v>0.15968362395903601</v>
      </c>
      <c r="AI68" s="109">
        <v>0.34281851132805602</v>
      </c>
      <c r="AJ68" s="301">
        <f t="shared" si="21"/>
        <v>0.16494347436758883</v>
      </c>
      <c r="AK68" s="9"/>
    </row>
    <row r="69" spans="1:37" ht="15" customHeight="1">
      <c r="A69" s="6"/>
      <c r="B69" s="292">
        <v>2022</v>
      </c>
      <c r="C69" s="322">
        <v>0.35740761541053578</v>
      </c>
      <c r="D69" s="216">
        <v>0.39861396745952216</v>
      </c>
      <c r="E69" s="216">
        <v>0.42081197375678497</v>
      </c>
      <c r="F69" s="216">
        <v>0.43550525742548957</v>
      </c>
      <c r="G69" s="216">
        <v>0.43697748706814321</v>
      </c>
      <c r="H69" s="216">
        <v>0.4464637611343234</v>
      </c>
      <c r="I69" s="216">
        <v>0.42540764176198587</v>
      </c>
      <c r="J69" s="216">
        <v>0.4263470093919921</v>
      </c>
      <c r="K69" s="216">
        <v>0.41768395068122566</v>
      </c>
      <c r="L69" s="216">
        <v>0.40940087676570869</v>
      </c>
      <c r="M69" s="216">
        <v>0.41588044380707984</v>
      </c>
      <c r="N69" s="216">
        <v>0.41877718086467125</v>
      </c>
      <c r="O69" s="310">
        <f t="shared" ref="O69:O70" si="22">AVERAGE(C69:N69)</f>
        <v>0.41743976379395514</v>
      </c>
      <c r="P69" s="301">
        <f t="shared" ref="P69:R71" si="23">O69/O68-1</f>
        <v>0.2011050415633362</v>
      </c>
      <c r="Q69" s="109">
        <v>0.41771464653289508</v>
      </c>
      <c r="R69" s="301">
        <f t="shared" si="23"/>
        <v>0.19583681255546903</v>
      </c>
      <c r="S69" s="7"/>
      <c r="T69" s="292">
        <v>2022</v>
      </c>
      <c r="U69" s="216">
        <v>0.35740761541053578</v>
      </c>
      <c r="V69" s="216">
        <v>0.39857338057852199</v>
      </c>
      <c r="W69" s="216">
        <v>0.42066141135809482</v>
      </c>
      <c r="X69" s="216">
        <v>0.4354905343993779</v>
      </c>
      <c r="Y69" s="216">
        <v>0.43696942931449034</v>
      </c>
      <c r="Z69" s="216">
        <v>0.44645550527903471</v>
      </c>
      <c r="AA69" s="216">
        <v>0.42540764176198587</v>
      </c>
      <c r="AB69" s="216">
        <v>0.4263470093919921</v>
      </c>
      <c r="AC69" s="216">
        <v>0.41768441621885694</v>
      </c>
      <c r="AD69" s="216">
        <v>0.40940087676570869</v>
      </c>
      <c r="AE69" s="216">
        <v>0.41588044380707984</v>
      </c>
      <c r="AF69" s="216">
        <v>0.41877718086467125</v>
      </c>
      <c r="AG69" s="310">
        <f t="shared" si="17"/>
        <v>0.41742128709586246</v>
      </c>
      <c r="AH69" s="301">
        <f t="shared" si="20"/>
        <v>0.22300786070744927</v>
      </c>
      <c r="AI69" s="109">
        <v>0.41769963796243853</v>
      </c>
      <c r="AJ69" s="301">
        <f t="shared" si="20"/>
        <v>0.21842789744433011</v>
      </c>
      <c r="AK69" s="9"/>
    </row>
    <row r="70" spans="1:37" ht="15" customHeight="1">
      <c r="A70" s="6"/>
      <c r="B70" s="292">
        <v>2023</v>
      </c>
      <c r="C70" s="322">
        <v>0.42070786573909508</v>
      </c>
      <c r="D70" s="216">
        <v>0.43430357691913496</v>
      </c>
      <c r="E70" s="216">
        <v>0.43976315857920312</v>
      </c>
      <c r="F70" s="216">
        <v>0.45461613200756679</v>
      </c>
      <c r="G70" s="216">
        <v>0.45315354725817658</v>
      </c>
      <c r="H70" s="216">
        <v>0.45497382198952874</v>
      </c>
      <c r="I70" s="216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6">
        <v>0.35760517976105632</v>
      </c>
      <c r="O70" s="310">
        <f t="shared" si="22"/>
        <v>0.41293831242055351</v>
      </c>
      <c r="P70" s="301">
        <f t="shared" si="23"/>
        <v>-1.0783475279138699E-2</v>
      </c>
      <c r="Q70" s="109">
        <v>0.40869661057801471</v>
      </c>
      <c r="R70" s="301">
        <f t="shared" si="23"/>
        <v>-2.1588986715528558E-2</v>
      </c>
      <c r="S70" s="7"/>
      <c r="T70" s="292">
        <v>2023</v>
      </c>
      <c r="U70" s="216">
        <v>0.42070786573909508</v>
      </c>
      <c r="V70" s="216">
        <v>0.43430357691913496</v>
      </c>
      <c r="W70" s="216">
        <v>0.43976273266516669</v>
      </c>
      <c r="X70" s="216">
        <v>0.45461578133058272</v>
      </c>
      <c r="Y70" s="216">
        <v>0.45315354725817658</v>
      </c>
      <c r="Z70" s="216">
        <v>0.45497382198952874</v>
      </c>
      <c r="AA70" s="216">
        <v>0.45922406967537605</v>
      </c>
      <c r="AB70" s="216">
        <v>0.37726876436553858</v>
      </c>
      <c r="AC70" s="216">
        <v>0.37120536884601268</v>
      </c>
      <c r="AD70" s="216">
        <v>0.36449965502214882</v>
      </c>
      <c r="AE70" s="216">
        <v>0.3603897311079669</v>
      </c>
      <c r="AF70" s="216">
        <v>0.35760517976105632</v>
      </c>
      <c r="AG70" s="310">
        <f t="shared" si="17"/>
        <v>0.41230917455664856</v>
      </c>
      <c r="AH70" s="301">
        <f t="shared" ref="AH70" si="24">AG70/AG69-1</f>
        <v>-1.224688988618805E-2</v>
      </c>
      <c r="AI70" s="109">
        <v>0.40795872687437473</v>
      </c>
      <c r="AJ70" s="301">
        <f t="shared" si="20"/>
        <v>-2.3320372350765006E-2</v>
      </c>
      <c r="AK70" s="9"/>
    </row>
    <row r="71" spans="1:37" ht="15" customHeight="1">
      <c r="A71" s="6"/>
      <c r="B71" s="292">
        <v>2024</v>
      </c>
      <c r="C71" s="322">
        <v>0.36287250025893542</v>
      </c>
      <c r="D71" s="270">
        <v>0.39465900692082884</v>
      </c>
      <c r="E71" s="270">
        <v>0.41999083239051077</v>
      </c>
      <c r="F71" s="270">
        <v>0.42337829709881353</v>
      </c>
      <c r="G71" s="270">
        <v>0.42340349167709268</v>
      </c>
      <c r="H71" s="216">
        <v>0.39090353468473055</v>
      </c>
      <c r="I71" s="270">
        <v>0.39960037108775803</v>
      </c>
      <c r="J71" s="270">
        <v>0.40306180747584003</v>
      </c>
      <c r="K71" s="270">
        <v>0.40281262719962241</v>
      </c>
      <c r="L71" s="270">
        <v>0.3915416805832147</v>
      </c>
      <c r="M71" s="273">
        <v>0.39066329653447857</v>
      </c>
      <c r="N71" s="273">
        <v>0.3920596711152291</v>
      </c>
      <c r="O71" s="310">
        <f t="shared" ref="O71" si="25">AVERAGE(C71:N71)</f>
        <v>0.39957892641892118</v>
      </c>
      <c r="P71" s="301">
        <f>+O71/O70-1</f>
        <v>-3.2352013847595229E-2</v>
      </c>
      <c r="Q71" s="109">
        <v>0.39658372155990007</v>
      </c>
      <c r="R71" s="301">
        <f t="shared" si="23"/>
        <v>-2.9637850436252777E-2</v>
      </c>
      <c r="S71" s="7"/>
      <c r="T71" s="292">
        <v>2024</v>
      </c>
      <c r="U71" s="216">
        <v>0.36280947392626278</v>
      </c>
      <c r="V71" s="216">
        <v>0.38328773428111174</v>
      </c>
      <c r="W71" s="216">
        <v>0.40837042242523619</v>
      </c>
      <c r="X71" s="216">
        <v>0.41165310948829231</v>
      </c>
      <c r="Y71" s="216">
        <v>0.41151729151521449</v>
      </c>
      <c r="Z71" s="216">
        <v>0.39090353468473055</v>
      </c>
      <c r="AA71" s="216">
        <v>0.38220208156964297</v>
      </c>
      <c r="AB71" s="216">
        <v>0.37759706451133035</v>
      </c>
      <c r="AC71" s="216">
        <v>0.37785888077858876</v>
      </c>
      <c r="AD71" s="216">
        <v>0.36678700361010835</v>
      </c>
      <c r="AE71" s="216">
        <v>0.37719855901674088</v>
      </c>
      <c r="AF71" s="216">
        <v>0.37389075763421575</v>
      </c>
      <c r="AG71" s="310">
        <f t="shared" ref="AG71" si="26">AVERAGE(U71:AF71)</f>
        <v>0.38533965945345633</v>
      </c>
      <c r="AH71" s="301">
        <f t="shared" ref="AH71" si="27">AG71/AG70-1</f>
        <v>-6.5410902224507295E-2</v>
      </c>
      <c r="AI71" s="109">
        <v>0.38363202432610127</v>
      </c>
      <c r="AJ71" s="301">
        <f t="shared" si="20"/>
        <v>-5.9630303130553064E-2</v>
      </c>
      <c r="AK71" s="9"/>
    </row>
    <row r="72" spans="1:37" s="269" customFormat="1" ht="15" customHeight="1">
      <c r="A72" s="195"/>
      <c r="B72" s="293">
        <v>2025</v>
      </c>
      <c r="C72" s="323">
        <v>0.41508068721365682</v>
      </c>
      <c r="D72" s="273">
        <v>0.4187468631669341</v>
      </c>
      <c r="E72" s="273">
        <v>0.43485653481737274</v>
      </c>
      <c r="F72" s="273">
        <v>0.43068335515668066</v>
      </c>
      <c r="G72" s="273">
        <v>0.4296949552002336</v>
      </c>
      <c r="H72" s="216">
        <v>0.43627153065468532</v>
      </c>
      <c r="I72" s="216">
        <v>0.43747632737466152</v>
      </c>
      <c r="J72" s="216">
        <v>0.43353824963600807</v>
      </c>
      <c r="K72" s="216">
        <v>0.43480973126030759</v>
      </c>
      <c r="L72" s="216">
        <v>0.42652976697700301</v>
      </c>
      <c r="M72" s="216">
        <v>0.42335418958547844</v>
      </c>
      <c r="N72" s="216">
        <v>0.42572574021854981</v>
      </c>
      <c r="O72" s="311">
        <v>0.42911807488608505</v>
      </c>
      <c r="P72" s="302">
        <f>+O72/O71-1</f>
        <v>7.3925691557103823E-2</v>
      </c>
      <c r="Q72" s="288">
        <v>0.42913526059428814</v>
      </c>
      <c r="R72" s="302">
        <f>+Q72/Q71-1</f>
        <v>8.2079866784122268E-2</v>
      </c>
      <c r="S72" s="196"/>
      <c r="T72" s="293">
        <v>2025</v>
      </c>
      <c r="U72" s="216">
        <v>0.38612954909590297</v>
      </c>
      <c r="V72" s="216">
        <v>0.39984228958415474</v>
      </c>
      <c r="W72" s="216">
        <v>0.41659766743157245</v>
      </c>
      <c r="X72" s="216">
        <v>0.4257280635400908</v>
      </c>
      <c r="Y72" s="216">
        <v>0.42464373110695258</v>
      </c>
      <c r="Z72" s="216">
        <v>0.4361873990306947</v>
      </c>
      <c r="AA72" s="216">
        <v>0.43656512448442081</v>
      </c>
      <c r="AB72" s="216">
        <v>0.4330344879254801</v>
      </c>
      <c r="AC72" s="216">
        <v>0.43432574430823118</v>
      </c>
      <c r="AD72" s="216">
        <v>0.42607018510632971</v>
      </c>
      <c r="AE72" s="216">
        <v>0.42316987211761153</v>
      </c>
      <c r="AF72" s="216">
        <v>0.42555365398860762</v>
      </c>
      <c r="AG72" s="311">
        <v>0.42372433695680284</v>
      </c>
      <c r="AH72" s="302">
        <f>+AG72/AG71-1</f>
        <v>9.961257960779113E-2</v>
      </c>
      <c r="AI72" s="288">
        <v>0.42391497681199863</v>
      </c>
      <c r="AJ72" s="302">
        <f>+AI72/AI71-1</f>
        <v>0.10500414441849459</v>
      </c>
      <c r="AK72" s="198"/>
    </row>
    <row r="73" spans="1:37" s="269" customFormat="1" ht="15" customHeight="1" thickBot="1">
      <c r="A73" s="196"/>
      <c r="B73" s="294">
        <v>2026</v>
      </c>
      <c r="C73" s="342">
        <v>0.41852609182780376</v>
      </c>
      <c r="D73" s="341">
        <v>0.42813414878674882</v>
      </c>
      <c r="E73" s="341">
        <v>0.4193658275571126</v>
      </c>
      <c r="F73" s="303"/>
      <c r="G73" s="303"/>
      <c r="H73" s="303"/>
      <c r="I73" s="303"/>
      <c r="J73" s="303"/>
      <c r="K73" s="303"/>
      <c r="L73" s="303"/>
      <c r="M73" s="303"/>
      <c r="N73" s="303"/>
      <c r="O73" s="312"/>
      <c r="P73" s="304"/>
      <c r="Q73" s="303"/>
      <c r="R73" s="304"/>
      <c r="S73" s="196"/>
      <c r="T73" s="294">
        <v>2026</v>
      </c>
      <c r="U73" s="342">
        <v>0.41852609182780376</v>
      </c>
      <c r="V73" s="341">
        <v>0.42813414878674882</v>
      </c>
      <c r="W73" s="341">
        <v>0.4193658275571126</v>
      </c>
      <c r="X73" s="303"/>
      <c r="Y73" s="303"/>
      <c r="Z73" s="303"/>
      <c r="AA73" s="303"/>
      <c r="AB73" s="303"/>
      <c r="AC73" s="303"/>
      <c r="AD73" s="303"/>
      <c r="AE73" s="303"/>
      <c r="AF73" s="303"/>
      <c r="AG73" s="312"/>
      <c r="AH73" s="304"/>
      <c r="AI73" s="303"/>
      <c r="AJ73" s="304"/>
      <c r="AK73" s="198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3"/>
      <c r="N74" s="7"/>
      <c r="O74" s="272"/>
      <c r="P74" s="272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3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2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55"/>
      <c r="C81" s="356"/>
      <c r="D81" s="356"/>
      <c r="E81" s="356"/>
      <c r="F81" s="357"/>
      <c r="G81" s="357"/>
      <c r="H81" s="357"/>
      <c r="I81" s="357"/>
      <c r="J81" s="357"/>
      <c r="K81" s="356"/>
      <c r="L81" s="356"/>
      <c r="M81" s="356"/>
      <c r="N81" s="356"/>
      <c r="O81" s="356"/>
      <c r="P81" s="356"/>
      <c r="Q81" s="356"/>
      <c r="R81" s="356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49" t="s">
        <v>26</v>
      </c>
      <c r="G82" s="350"/>
      <c r="H82" s="350"/>
      <c r="I82" s="350"/>
      <c r="J82" s="351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28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28"/>
        <v>28.221416666666666</v>
      </c>
      <c r="P86" s="41">
        <f t="shared" ref="P86:P95" si="29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28"/>
        <v>28.694750000000003</v>
      </c>
      <c r="P87" s="41">
        <f t="shared" si="29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28"/>
        <v>24.476749999999999</v>
      </c>
      <c r="P88" s="41">
        <f t="shared" si="29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28"/>
        <v>24.073583333333335</v>
      </c>
      <c r="P89" s="41">
        <f t="shared" si="29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28"/>
        <v>23.466833333333337</v>
      </c>
      <c r="P90" s="41">
        <f t="shared" si="29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28"/>
        <v>20.947500000000002</v>
      </c>
      <c r="P91" s="41">
        <f t="shared" si="29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28"/>
        <v>22.567833333333329</v>
      </c>
      <c r="P92" s="41">
        <f t="shared" si="29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28"/>
        <v>20.057583333333334</v>
      </c>
      <c r="P93" s="41">
        <f t="shared" si="29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28"/>
        <v>19.313333333333336</v>
      </c>
      <c r="P94" s="41">
        <f t="shared" si="29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28"/>
        <v>20.310083333333335</v>
      </c>
      <c r="P95" s="41">
        <f t="shared" si="29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28"/>
        <v>20.484500000000001</v>
      </c>
      <c r="P96" s="41">
        <f t="shared" ref="P96:P105" si="30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28"/>
        <v>23.246166666666664</v>
      </c>
      <c r="P97" s="41">
        <f t="shared" si="30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28"/>
        <v>27.326999999999998</v>
      </c>
      <c r="P98" s="41">
        <f t="shared" si="30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28"/>
        <v>30.155583333333336</v>
      </c>
      <c r="P99" s="41">
        <f t="shared" si="30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0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28"/>
        <v>28.674083333333332</v>
      </c>
      <c r="P100" s="41">
        <f t="shared" si="30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0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28"/>
        <v>30.722083333333334</v>
      </c>
      <c r="P101" s="41">
        <f t="shared" si="30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0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28"/>
        <v>35.255249999999997</v>
      </c>
      <c r="P102" s="41">
        <f t="shared" si="30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0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28"/>
        <v>41.993583333333341</v>
      </c>
      <c r="P103" s="41">
        <f t="shared" si="30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0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28"/>
        <v>43.553166666666669</v>
      </c>
      <c r="P104" s="41">
        <f t="shared" si="30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0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28"/>
        <v>41.16758333333334</v>
      </c>
      <c r="P105" s="41">
        <f t="shared" si="30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0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1">AVERAGE(C106:N106)</f>
        <v>38.821337301587306</v>
      </c>
      <c r="P106" s="41">
        <f t="shared" ref="P106" si="32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0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3">AVERAGE(C107:N107)</f>
        <v>40.213166666666673</v>
      </c>
      <c r="P107" s="41">
        <f t="shared" ref="P107" si="34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0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5">AVERAGE(C108:N108)</f>
        <v>41.081083333333325</v>
      </c>
      <c r="P108" s="41">
        <f t="shared" ref="P108" si="36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1">
        <v>2026</v>
      </c>
      <c r="C109" s="45">
        <v>38.439</v>
      </c>
      <c r="D109" s="46">
        <v>38.567</v>
      </c>
      <c r="E109" s="46">
        <v>40.258000000000003</v>
      </c>
      <c r="F109" s="46"/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4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2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1 O85:O89 AG20:AG33 AG12:AG19 AG49:AG71 AG34:AH34 O106:O108 O35:P35 S35:T35 AG35 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topLeftCell="A53" workbookViewId="0">
      <selection activeCell="M76" sqref="M76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58" t="s">
        <v>29</v>
      </c>
      <c r="G10" s="359"/>
      <c r="H10" s="359"/>
      <c r="I10" s="359"/>
      <c r="J10" s="360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61" t="s">
        <v>30</v>
      </c>
      <c r="H12" s="362"/>
      <c r="I12" s="363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0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0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0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0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1">
        <v>2026</v>
      </c>
      <c r="C29" s="103">
        <v>3.9941008548791256E-2</v>
      </c>
      <c r="D29" s="104">
        <v>4.0747026305396547E-2</v>
      </c>
      <c r="E29" s="104">
        <v>4.2062417938768498E-2</v>
      </c>
      <c r="F29" s="104"/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1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64" t="s">
        <v>44</v>
      </c>
      <c r="H33" s="365"/>
      <c r="I33" s="366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0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0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0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0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0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0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0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0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0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0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0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1">
        <v>2026</v>
      </c>
      <c r="C50" s="103">
        <v>3.516845399119628E-2</v>
      </c>
      <c r="D50" s="104">
        <v>3.6135043709131683E-2</v>
      </c>
      <c r="E50" s="104">
        <v>3.6753182245234967E-2</v>
      </c>
      <c r="F50" s="104"/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1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87"/>
      <c r="P52" s="287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67" t="s">
        <v>45</v>
      </c>
      <c r="G54" s="368"/>
      <c r="H54" s="368"/>
      <c r="I54" s="368"/>
      <c r="J54" s="368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0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0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0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0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0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0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0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0">
        <v>2022</v>
      </c>
      <c r="C67" s="214">
        <v>216.79001571220013</v>
      </c>
      <c r="D67" s="215">
        <v>226.64554870050804</v>
      </c>
      <c r="E67" s="215">
        <v>227.73955313582309</v>
      </c>
      <c r="F67" s="215">
        <v>228.97282719467069</v>
      </c>
      <c r="G67" s="215">
        <v>228.72738590015763</v>
      </c>
      <c r="H67" s="215">
        <v>229.29570876269608</v>
      </c>
      <c r="I67" s="215">
        <v>229.39098853820036</v>
      </c>
      <c r="J67" s="215">
        <v>231.69824956367975</v>
      </c>
      <c r="K67" s="215">
        <v>228.49945637391272</v>
      </c>
      <c r="L67" s="215">
        <v>225.54470244442234</v>
      </c>
      <c r="M67" s="215">
        <v>223.700789758989</v>
      </c>
      <c r="N67" s="215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0">
        <v>2023</v>
      </c>
      <c r="C68" s="214">
        <v>223.61667427022641</v>
      </c>
      <c r="D68" s="215">
        <v>223.37743094456781</v>
      </c>
      <c r="E68" s="215">
        <v>223.45035527890556</v>
      </c>
      <c r="F68" s="215">
        <v>224.60841374117575</v>
      </c>
      <c r="G68" s="215">
        <v>225.16529116667317</v>
      </c>
      <c r="H68" s="215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5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0">
        <v>2024</v>
      </c>
      <c r="C69" s="214">
        <v>188.99783012638693</v>
      </c>
      <c r="D69" s="274">
        <v>202.43435772782627</v>
      </c>
      <c r="E69" s="274">
        <v>203.58112786505814</v>
      </c>
      <c r="F69" s="274">
        <v>202.87944312331973</v>
      </c>
      <c r="G69" s="274">
        <v>202.8757525198271</v>
      </c>
      <c r="H69" s="215">
        <v>191.54099993368212</v>
      </c>
      <c r="I69" s="274">
        <v>209.03367671618076</v>
      </c>
      <c r="J69" s="274">
        <v>213.74334557958286</v>
      </c>
      <c r="K69" s="274">
        <v>218.25468366539627</v>
      </c>
      <c r="L69" s="274">
        <v>218.56370839909147</v>
      </c>
      <c r="M69" s="275">
        <v>224.83589204845512</v>
      </c>
      <c r="N69" s="275">
        <v>229.15116509350361</v>
      </c>
      <c r="O69" s="120">
        <v>208.70005270692596</v>
      </c>
      <c r="P69" s="41">
        <f t="shared" si="2"/>
        <v>4.8719287620138108E-3</v>
      </c>
      <c r="Q69" s="271"/>
    </row>
    <row r="70" spans="1:17" ht="15" customHeight="1">
      <c r="A70" s="6"/>
      <c r="B70" s="200">
        <v>2025</v>
      </c>
      <c r="C70" s="343">
        <v>238.3837448020885</v>
      </c>
      <c r="D70" s="274">
        <v>231.72176237886342</v>
      </c>
      <c r="E70" s="274">
        <v>231.06207245224908</v>
      </c>
      <c r="F70" s="274">
        <v>225.00309556818544</v>
      </c>
      <c r="G70" s="274">
        <v>224.90133970231548</v>
      </c>
      <c r="H70" s="215">
        <v>223.81626618915374</v>
      </c>
      <c r="I70" s="215">
        <v>225.16411186475963</v>
      </c>
      <c r="J70" s="215">
        <v>225.7928630741242</v>
      </c>
      <c r="K70" s="215">
        <v>225.16280902377707</v>
      </c>
      <c r="L70" s="215">
        <v>222.70494094456652</v>
      </c>
      <c r="M70" s="215">
        <v>221.9571258978051</v>
      </c>
      <c r="N70" s="215">
        <v>220.09609094318526</v>
      </c>
      <c r="O70" s="120">
        <v>225.78132986254749</v>
      </c>
      <c r="P70" s="41">
        <f t="shared" si="2"/>
        <v>8.1846060573872892E-2</v>
      </c>
      <c r="Q70" s="90"/>
    </row>
    <row r="71" spans="1:17" ht="15" customHeight="1" thickBot="1">
      <c r="A71" s="6"/>
      <c r="B71" s="201">
        <v>2026</v>
      </c>
      <c r="C71" s="202">
        <v>207.9518268033307</v>
      </c>
      <c r="D71" s="202">
        <v>208.513142942049</v>
      </c>
      <c r="E71" s="202">
        <v>207.96766820125683</v>
      </c>
      <c r="F71" s="202"/>
      <c r="G71" s="202"/>
      <c r="H71" s="202"/>
      <c r="I71" s="202"/>
      <c r="J71" s="202"/>
      <c r="K71" s="202"/>
      <c r="L71" s="202"/>
      <c r="M71" s="202"/>
      <c r="N71" s="202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5"/>
      <c r="M72" s="265"/>
      <c r="N72" s="266"/>
      <c r="O72" s="211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2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1"/>
  <sheetViews>
    <sheetView showGridLines="0" zoomScale="80" zoomScaleNormal="80" workbookViewId="0">
      <pane xSplit="2" ySplit="7" topLeftCell="C272" activePane="bottomRight" state="frozen"/>
      <selection pane="topRight" activeCell="C1" sqref="C1"/>
      <selection pane="bottomLeft" activeCell="A8" sqref="A8"/>
      <selection pane="bottomRight" activeCell="C284" sqref="C284:C295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102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46" t="s">
        <v>49</v>
      </c>
      <c r="D5" s="347"/>
      <c r="E5" s="347"/>
      <c r="F5" s="347"/>
      <c r="G5" s="347"/>
      <c r="H5" s="347"/>
      <c r="I5" s="347"/>
      <c r="J5" s="347"/>
      <c r="K5" s="348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23" si="12">C200-D200</f>
        <v>9.4599999999999955</v>
      </c>
      <c r="F200" s="141">
        <f t="shared" ref="F200:F263" si="13">C200/H200</f>
        <v>0.33646605035115568</v>
      </c>
      <c r="G200" s="143">
        <f t="shared" ref="G200:G263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 t="shared" si="14"/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si="14"/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8">
        <f t="shared" ref="C248:C295" si="17">E248+D248</f>
        <v>15.91</v>
      </c>
      <c r="D248" s="223">
        <v>0</v>
      </c>
      <c r="E248" s="219">
        <v>15.91</v>
      </c>
      <c r="F248" s="141">
        <f t="shared" si="13"/>
        <v>0.35740761541053578</v>
      </c>
      <c r="G248" s="143">
        <f t="shared" si="14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8">
        <f t="shared" si="15"/>
        <v>216.79001571220013</v>
      </c>
      <c r="L248" s="213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09">
        <f t="shared" si="17"/>
        <v>17.211752500934708</v>
      </c>
      <c r="D249" s="224">
        <v>1.75250093470559E-3</v>
      </c>
      <c r="E249" s="220">
        <v>17.21</v>
      </c>
      <c r="F249" s="149">
        <f t="shared" si="13"/>
        <v>0.39861396745952216</v>
      </c>
      <c r="G249" s="151">
        <f t="shared" si="14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09">
        <f t="shared" si="15"/>
        <v>226.64554870050804</v>
      </c>
      <c r="L249" s="212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09">
        <f t="shared" si="17"/>
        <v>17.776360207407869</v>
      </c>
      <c r="D250" s="224">
        <v>6.3602074078710101E-3</v>
      </c>
      <c r="E250" s="220">
        <v>17.77</v>
      </c>
      <c r="F250" s="149">
        <f t="shared" si="13"/>
        <v>0.42081197375678497</v>
      </c>
      <c r="G250" s="151">
        <f t="shared" si="14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09">
        <f t="shared" si="15"/>
        <v>227.73955313582309</v>
      </c>
      <c r="L250" s="212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09">
        <f t="shared" si="17"/>
        <v>17.920605837801471</v>
      </c>
      <c r="D251" s="225">
        <v>6.0583780146866403E-4</v>
      </c>
      <c r="E251" s="221">
        <v>17.920000000000002</v>
      </c>
      <c r="F251" s="203">
        <f t="shared" si="13"/>
        <v>0.43550525742548957</v>
      </c>
      <c r="G251" s="204">
        <f t="shared" si="14"/>
        <v>0.4354905343993779</v>
      </c>
      <c r="H251" s="205">
        <v>41.149000000000001</v>
      </c>
      <c r="I251" s="206">
        <v>4.0417428595393698E-2</v>
      </c>
      <c r="J251" s="207">
        <v>3.5568209777648997E-2</v>
      </c>
      <c r="K251" s="210">
        <f t="shared" si="15"/>
        <v>228.97282719467069</v>
      </c>
      <c r="L251" s="212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09">
        <f t="shared" si="17"/>
        <v>17.810328417923383</v>
      </c>
      <c r="D252" s="225">
        <v>3.2841792338313201E-4</v>
      </c>
      <c r="E252" s="221">
        <v>17.809999999999999</v>
      </c>
      <c r="F252" s="203">
        <f t="shared" si="13"/>
        <v>0.43697748706814321</v>
      </c>
      <c r="G252" s="204">
        <f t="shared" si="14"/>
        <v>0.43696942931449034</v>
      </c>
      <c r="H252" s="205">
        <v>40.758000000000003</v>
      </c>
      <c r="I252" s="206">
        <v>4.0115362983394402E-2</v>
      </c>
      <c r="J252" s="207">
        <v>3.5483721578447799E-2</v>
      </c>
      <c r="K252" s="210">
        <f t="shared" si="15"/>
        <v>228.72738590015763</v>
      </c>
      <c r="L252" s="212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09">
        <f t="shared" si="17"/>
        <v>17.760328417923386</v>
      </c>
      <c r="D253" s="225">
        <v>3.2841792338313201E-4</v>
      </c>
      <c r="E253" s="221">
        <v>17.760000000000002</v>
      </c>
      <c r="F253" s="203">
        <f t="shared" si="13"/>
        <v>0.4464637611343234</v>
      </c>
      <c r="G253" s="204">
        <f t="shared" si="14"/>
        <v>0.44645550527903471</v>
      </c>
      <c r="H253" s="205">
        <v>39.78</v>
      </c>
      <c r="I253" s="206">
        <v>3.9899999999999998E-2</v>
      </c>
      <c r="J253" s="207">
        <v>3.5299999999999998E-2</v>
      </c>
      <c r="K253" s="210">
        <f t="shared" si="15"/>
        <v>229.29570876269608</v>
      </c>
      <c r="L253" s="212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0">
        <f t="shared" si="17"/>
        <v>17.48</v>
      </c>
      <c r="D254" s="225">
        <v>0</v>
      </c>
      <c r="E254" s="221">
        <v>17.48</v>
      </c>
      <c r="F254" s="203">
        <f t="shared" si="13"/>
        <v>0.42540764176198587</v>
      </c>
      <c r="G254" s="204">
        <f t="shared" si="14"/>
        <v>0.42540764176198587</v>
      </c>
      <c r="H254" s="205">
        <v>41.09</v>
      </c>
      <c r="I254" s="206">
        <v>3.9465518269064123E-2</v>
      </c>
      <c r="J254" s="207">
        <v>3.4516785458536821E-2</v>
      </c>
      <c r="K254" s="210">
        <f t="shared" si="15"/>
        <v>229.39098853820036</v>
      </c>
      <c r="L254" s="212"/>
      <c r="M254" s="7"/>
      <c r="N254" s="7"/>
      <c r="O254" s="18"/>
      <c r="P254" s="7"/>
      <c r="Q254" s="7"/>
      <c r="R254" s="90"/>
    </row>
    <row r="255" spans="1:18" s="199" customFormat="1" ht="14.4" customHeight="1">
      <c r="A255" s="195"/>
      <c r="B255" s="218">
        <v>44774</v>
      </c>
      <c r="C255" s="210">
        <f t="shared" si="17"/>
        <v>17.25</v>
      </c>
      <c r="D255" s="225">
        <v>0</v>
      </c>
      <c r="E255" s="221">
        <v>17.25</v>
      </c>
      <c r="F255" s="203">
        <f t="shared" si="13"/>
        <v>0.4263470093919921</v>
      </c>
      <c r="G255" s="204">
        <f t="shared" si="14"/>
        <v>0.4263470093919921</v>
      </c>
      <c r="H255" s="205">
        <v>40.46</v>
      </c>
      <c r="I255" s="206">
        <v>3.7719528712704134E-2</v>
      </c>
      <c r="J255" s="207">
        <v>3.456229839247256E-2</v>
      </c>
      <c r="K255" s="210">
        <f t="shared" si="15"/>
        <v>231.69824956367975</v>
      </c>
      <c r="L255" s="212"/>
      <c r="M255" s="196"/>
      <c r="N255" s="196"/>
      <c r="O255" s="197"/>
      <c r="P255" s="196"/>
      <c r="Q255" s="196"/>
      <c r="R255" s="198"/>
    </row>
    <row r="256" spans="1:18" s="199" customFormat="1" ht="14.4" customHeight="1">
      <c r="A256" s="195"/>
      <c r="B256" s="218">
        <v>44805</v>
      </c>
      <c r="C256" s="210">
        <f t="shared" si="17"/>
        <v>17.099980940889377</v>
      </c>
      <c r="D256" s="225">
        <v>-1.9059110622868387E-5</v>
      </c>
      <c r="E256" s="222">
        <v>17.100000000000001</v>
      </c>
      <c r="F256" s="203">
        <f t="shared" si="13"/>
        <v>0.41768395068122566</v>
      </c>
      <c r="G256" s="204">
        <f t="shared" si="14"/>
        <v>0.41768441621885694</v>
      </c>
      <c r="H256" s="205">
        <v>40.94</v>
      </c>
      <c r="I256" s="206">
        <v>3.780959287632641E-2</v>
      </c>
      <c r="J256" s="207">
        <v>3.484669920874011E-2</v>
      </c>
      <c r="K256" s="210">
        <f t="shared" si="15"/>
        <v>228.49945637391272</v>
      </c>
      <c r="L256" s="212"/>
      <c r="M256" s="196"/>
      <c r="N256" s="196"/>
      <c r="O256" s="197"/>
      <c r="P256" s="196"/>
      <c r="Q256" s="196"/>
      <c r="R256" s="198"/>
    </row>
    <row r="257" spans="1:18" s="199" customFormat="1" ht="14.4" customHeight="1">
      <c r="A257" s="195"/>
      <c r="B257" s="218">
        <v>44835</v>
      </c>
      <c r="C257" s="210">
        <f t="shared" si="17"/>
        <v>16.809999999999999</v>
      </c>
      <c r="D257" s="225">
        <v>0</v>
      </c>
      <c r="E257" s="222">
        <v>16.809999999999999</v>
      </c>
      <c r="F257" s="203">
        <f t="shared" si="13"/>
        <v>0.40940087676570869</v>
      </c>
      <c r="G257" s="204">
        <f t="shared" si="14"/>
        <v>0.40940087676570869</v>
      </c>
      <c r="H257" s="205">
        <v>41.06</v>
      </c>
      <c r="I257" s="206">
        <v>3.8129142570975549E-2</v>
      </c>
      <c r="J257" s="207">
        <v>3.4230740736574776E-2</v>
      </c>
      <c r="K257" s="210">
        <f t="shared" si="15"/>
        <v>225.54470244442234</v>
      </c>
      <c r="L257" s="212"/>
      <c r="M257" s="196"/>
      <c r="N257" s="196"/>
      <c r="O257" s="197"/>
      <c r="P257" s="196"/>
      <c r="Q257" s="196"/>
      <c r="R257" s="198"/>
    </row>
    <row r="258" spans="1:18" s="199" customFormat="1" ht="14.4" customHeight="1">
      <c r="A258" s="195"/>
      <c r="B258" s="218">
        <v>44866</v>
      </c>
      <c r="C258" s="210">
        <f t="shared" si="17"/>
        <v>16.53</v>
      </c>
      <c r="D258" s="225">
        <v>0</v>
      </c>
      <c r="E258" s="222">
        <v>16.53</v>
      </c>
      <c r="F258" s="203">
        <f t="shared" si="13"/>
        <v>0.41588044380707984</v>
      </c>
      <c r="G258" s="204">
        <f t="shared" si="14"/>
        <v>0.41588044380707984</v>
      </c>
      <c r="H258" s="205">
        <v>39.747</v>
      </c>
      <c r="I258" s="206">
        <v>3.8208284005134062E-2</v>
      </c>
      <c r="J258" s="207">
        <v>3.353282923193044E-2</v>
      </c>
      <c r="K258" s="210">
        <f t="shared" si="15"/>
        <v>223.700789758989</v>
      </c>
      <c r="L258" s="212"/>
      <c r="M258" s="196"/>
      <c r="N258" s="196"/>
      <c r="O258" s="197"/>
      <c r="P258" s="196"/>
      <c r="Q258" s="196"/>
      <c r="R258" s="198"/>
    </row>
    <row r="259" spans="1:18" s="199" customFormat="1" ht="14.4" customHeight="1">
      <c r="A259" s="195"/>
      <c r="B259" s="148">
        <v>44896</v>
      </c>
      <c r="C259" s="210">
        <f t="shared" si="17"/>
        <v>16.37</v>
      </c>
      <c r="D259" s="225">
        <v>0</v>
      </c>
      <c r="E259" s="221">
        <v>16.37</v>
      </c>
      <c r="F259" s="203">
        <f t="shared" si="13"/>
        <v>0.41877718086467125</v>
      </c>
      <c r="G259" s="204">
        <f t="shared" si="14"/>
        <v>0.41877718086467125</v>
      </c>
      <c r="H259" s="205">
        <v>39.090000000000003</v>
      </c>
      <c r="I259" s="206">
        <v>3.7937810625208311E-2</v>
      </c>
      <c r="J259" s="207">
        <v>3.3147505790751756E-2</v>
      </c>
      <c r="K259" s="210">
        <f t="shared" si="15"/>
        <v>223.57928029039209</v>
      </c>
      <c r="L259" s="212"/>
      <c r="M259" s="196"/>
      <c r="N259" s="196"/>
      <c r="O259" s="197"/>
      <c r="P259" s="196"/>
      <c r="Q259" s="196"/>
      <c r="R259" s="198"/>
    </row>
    <row r="260" spans="1:18" s="199" customFormat="1" ht="14.4" customHeight="1">
      <c r="A260" s="195"/>
      <c r="B260" s="226">
        <v>44927</v>
      </c>
      <c r="C260" s="227">
        <f t="shared" si="17"/>
        <v>16.57</v>
      </c>
      <c r="D260" s="228">
        <v>0</v>
      </c>
      <c r="E260" s="229">
        <v>16.57</v>
      </c>
      <c r="F260" s="230">
        <f t="shared" si="13"/>
        <v>0.42070786573909508</v>
      </c>
      <c r="G260" s="231">
        <f t="shared" si="14"/>
        <v>0.42070786573909508</v>
      </c>
      <c r="H260" s="232">
        <v>39.386000000000003</v>
      </c>
      <c r="I260" s="233">
        <v>3.8086888273059456E-2</v>
      </c>
      <c r="J260" s="234">
        <v>3.3854878561984929E-2</v>
      </c>
      <c r="K260" s="235">
        <f t="shared" si="15"/>
        <v>223.61667427022641</v>
      </c>
      <c r="L260" s="239"/>
      <c r="M260" s="196"/>
      <c r="N260" s="196"/>
      <c r="O260" s="197"/>
      <c r="P260" s="196"/>
      <c r="Q260" s="196"/>
      <c r="R260" s="198"/>
    </row>
    <row r="261" spans="1:18" s="199" customFormat="1" ht="14.4" customHeight="1">
      <c r="A261" s="195"/>
      <c r="B261" s="236">
        <v>44958</v>
      </c>
      <c r="C261" s="210">
        <f t="shared" si="17"/>
        <v>16.95</v>
      </c>
      <c r="D261" s="225">
        <v>0</v>
      </c>
      <c r="E261" s="222">
        <v>16.95</v>
      </c>
      <c r="F261" s="203">
        <f t="shared" si="13"/>
        <v>0.43430357691913496</v>
      </c>
      <c r="G261" s="204">
        <f t="shared" si="14"/>
        <v>0.43430357691913496</v>
      </c>
      <c r="H261" s="205">
        <v>39.027999999999999</v>
      </c>
      <c r="I261" s="206">
        <v>3.9066822242545582E-2</v>
      </c>
      <c r="J261" s="207">
        <v>3.4603604577321291E-2</v>
      </c>
      <c r="K261" s="238">
        <f t="shared" si="15"/>
        <v>223.37743094456781</v>
      </c>
      <c r="L261" s="240"/>
      <c r="M261" s="196"/>
      <c r="N261" s="196"/>
      <c r="O261" s="197"/>
      <c r="P261" s="196"/>
      <c r="Q261" s="196"/>
      <c r="R261" s="198"/>
    </row>
    <row r="262" spans="1:18" s="199" customFormat="1" ht="14.4" customHeight="1">
      <c r="A262" s="195"/>
      <c r="B262" s="236">
        <v>44986</v>
      </c>
      <c r="C262" s="210">
        <f t="shared" si="17"/>
        <v>17.200016658349792</v>
      </c>
      <c r="D262" s="225">
        <v>1.6658349792239802E-5</v>
      </c>
      <c r="E262" s="222">
        <v>17.2</v>
      </c>
      <c r="F262" s="203">
        <f t="shared" si="13"/>
        <v>0.43976315857920312</v>
      </c>
      <c r="G262" s="204">
        <f t="shared" si="14"/>
        <v>0.43976273266516669</v>
      </c>
      <c r="H262" s="205">
        <v>39.112000000000002</v>
      </c>
      <c r="I262" s="206">
        <v>3.9823790558037753E-2</v>
      </c>
      <c r="J262" s="207">
        <v>3.4908895718183959E-2</v>
      </c>
      <c r="K262" s="238">
        <f t="shared" si="15"/>
        <v>223.45035527890556</v>
      </c>
      <c r="L262" s="240"/>
      <c r="M262" s="196"/>
      <c r="N262" s="196"/>
      <c r="O262" s="197"/>
      <c r="P262" s="196"/>
      <c r="Q262" s="196"/>
      <c r="R262" s="198"/>
    </row>
    <row r="263" spans="1:18" s="199" customFormat="1" ht="14.4" customHeight="1">
      <c r="A263" s="195"/>
      <c r="B263" s="236">
        <v>45017</v>
      </c>
      <c r="C263" s="210">
        <f t="shared" si="17"/>
        <v>17.630013599253441</v>
      </c>
      <c r="D263" s="225">
        <v>1.3599253442915407E-5</v>
      </c>
      <c r="E263" s="222">
        <v>17.63</v>
      </c>
      <c r="F263" s="203">
        <f t="shared" si="13"/>
        <v>0.45461613200756679</v>
      </c>
      <c r="G263" s="204">
        <f t="shared" si="14"/>
        <v>0.45461578133058272</v>
      </c>
      <c r="H263" s="205">
        <v>38.78</v>
      </c>
      <c r="I263" s="206">
        <v>4.0471918061096179E-2</v>
      </c>
      <c r="J263" s="207">
        <v>3.5734123255110196E-2</v>
      </c>
      <c r="K263" s="238">
        <f t="shared" si="15"/>
        <v>224.60841374117575</v>
      </c>
      <c r="L263" s="240"/>
      <c r="M263" s="196"/>
      <c r="N263" s="196"/>
      <c r="O263" s="197"/>
      <c r="P263" s="196"/>
      <c r="Q263" s="196"/>
      <c r="R263" s="198"/>
    </row>
    <row r="264" spans="1:18" ht="14.4" customHeight="1">
      <c r="A264" s="6"/>
      <c r="B264" s="236">
        <v>45047</v>
      </c>
      <c r="C264" s="210">
        <f t="shared" si="17"/>
        <v>17.61</v>
      </c>
      <c r="D264" s="225">
        <v>0</v>
      </c>
      <c r="E264" s="222">
        <v>17.61</v>
      </c>
      <c r="F264" s="203">
        <f t="shared" ref="F264:F298" si="18">C264/H264</f>
        <v>0.45315354725817658</v>
      </c>
      <c r="G264" s="204">
        <f t="shared" ref="G264:G298" si="19">E264/H264</f>
        <v>0.45315354725817658</v>
      </c>
      <c r="H264" s="205">
        <v>38.860999999999997</v>
      </c>
      <c r="I264" s="206">
        <v>4.0360352992275243E-2</v>
      </c>
      <c r="J264" s="207">
        <v>3.5570920829075259E-2</v>
      </c>
      <c r="K264" s="238">
        <f t="shared" ref="K264:K268" si="20">C264/1.03/(I264+J264)</f>
        <v>225.16529116667317</v>
      </c>
      <c r="L264" s="241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6">
        <v>45078</v>
      </c>
      <c r="C265" s="210">
        <f t="shared" si="17"/>
        <v>17.38</v>
      </c>
      <c r="D265" s="225">
        <v>0</v>
      </c>
      <c r="E265" s="222">
        <v>17.38</v>
      </c>
      <c r="F265" s="203">
        <f t="shared" si="18"/>
        <v>0.45497382198952874</v>
      </c>
      <c r="G265" s="204">
        <f t="shared" si="19"/>
        <v>0.45497382198952874</v>
      </c>
      <c r="H265" s="205">
        <v>38.200000000000003</v>
      </c>
      <c r="I265" s="206">
        <v>3.9404605642476671E-2</v>
      </c>
      <c r="J265" s="207">
        <v>3.5402974904770575E-2</v>
      </c>
      <c r="K265" s="238">
        <f t="shared" si="20"/>
        <v>225.56252032653003</v>
      </c>
      <c r="L265" s="241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6">
        <v>45108</v>
      </c>
      <c r="C266" s="210">
        <f t="shared" si="17"/>
        <v>17.399999999999999</v>
      </c>
      <c r="D266" s="243">
        <v>0</v>
      </c>
      <c r="E266" s="244">
        <v>17.399999999999999</v>
      </c>
      <c r="F266" s="203">
        <f t="shared" si="18"/>
        <v>0.45922406967537605</v>
      </c>
      <c r="G266" s="204">
        <f t="shared" si="19"/>
        <v>0.45922406967537605</v>
      </c>
      <c r="H266" s="245">
        <v>37.89</v>
      </c>
      <c r="I266" s="246">
        <v>3.9659274918383995E-2</v>
      </c>
      <c r="J266" s="247">
        <v>3.5283211258000054E-2</v>
      </c>
      <c r="K266" s="248">
        <f t="shared" si="20"/>
        <v>225.41557860431038</v>
      </c>
      <c r="L266" s="241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6">
        <v>45139</v>
      </c>
      <c r="C267" s="210">
        <f t="shared" si="17"/>
        <v>14.422481272119411</v>
      </c>
      <c r="D267" s="243">
        <v>0.14248127211941172</v>
      </c>
      <c r="E267" s="244">
        <v>14.28</v>
      </c>
      <c r="F267" s="203">
        <f t="shared" si="18"/>
        <v>0.38103303141579908</v>
      </c>
      <c r="G267" s="204">
        <f t="shared" si="19"/>
        <v>0.37726876436553858</v>
      </c>
      <c r="H267" s="245">
        <v>37.850999999999999</v>
      </c>
      <c r="I267" s="246">
        <v>3.8801494243189537E-2</v>
      </c>
      <c r="J267" s="247">
        <v>3.5637915872836587E-2</v>
      </c>
      <c r="K267" s="248">
        <f t="shared" si="20"/>
        <v>188.10478186531319</v>
      </c>
      <c r="L267" s="241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6">
        <v>45170</v>
      </c>
      <c r="C268" s="210">
        <f t="shared" si="17"/>
        <v>14.304367760737883</v>
      </c>
      <c r="D268" s="243">
        <v>0.14436776073788318</v>
      </c>
      <c r="E268" s="244">
        <v>14.16</v>
      </c>
      <c r="F268" s="203">
        <f t="shared" si="18"/>
        <v>0.37498997957159025</v>
      </c>
      <c r="G268" s="204">
        <f t="shared" si="19"/>
        <v>0.37120536884601268</v>
      </c>
      <c r="H268" s="245">
        <v>38.146000000000001</v>
      </c>
      <c r="I268" s="246">
        <v>3.8803509951225335E-2</v>
      </c>
      <c r="J268" s="247">
        <v>3.5896594530447648E-2</v>
      </c>
      <c r="K268" s="248">
        <f t="shared" si="20"/>
        <v>185.91320301893305</v>
      </c>
      <c r="L268" s="241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6">
        <v>45200</v>
      </c>
      <c r="C269" s="210">
        <f t="shared" si="17"/>
        <v>14.58323079133924</v>
      </c>
      <c r="D269" s="225">
        <v>0.14323079133924047</v>
      </c>
      <c r="E269" s="249">
        <v>14.44</v>
      </c>
      <c r="F269" s="203">
        <f t="shared" si="18"/>
        <v>0.36691988404426318</v>
      </c>
      <c r="G269" s="204">
        <f t="shared" si="19"/>
        <v>0.36331614039501825</v>
      </c>
      <c r="H269" s="205">
        <v>39.744999999999997</v>
      </c>
      <c r="I269" s="206">
        <v>3.865581346345532E-2</v>
      </c>
      <c r="J269" s="207">
        <v>3.5075274685827135E-2</v>
      </c>
      <c r="K269" s="238">
        <v>190.76195070245981</v>
      </c>
      <c r="L269" s="241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6">
        <v>45231</v>
      </c>
      <c r="C270" s="210">
        <f t="shared" si="17"/>
        <v>14.402061302575852</v>
      </c>
      <c r="D270" s="225">
        <v>0.14206130257585231</v>
      </c>
      <c r="E270" s="249">
        <v>14.26</v>
      </c>
      <c r="F270" s="203">
        <f t="shared" si="18"/>
        <v>0.36411093603579536</v>
      </c>
      <c r="G270" s="204">
        <f t="shared" si="19"/>
        <v>0.3605193616931624</v>
      </c>
      <c r="H270" s="205">
        <v>39.554047619047623</v>
      </c>
      <c r="I270" s="206">
        <v>3.8229507146367324E-2</v>
      </c>
      <c r="J270" s="207">
        <v>3.4547912831612973E-2</v>
      </c>
      <c r="K270" s="238">
        <f t="shared" ref="K270:K298" si="21">C270/1.03/(I270+J270)</f>
        <v>192.128050061945</v>
      </c>
      <c r="L270" s="241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7">
        <v>45261</v>
      </c>
      <c r="C271" s="250">
        <f t="shared" si="17"/>
        <v>14.07</v>
      </c>
      <c r="D271" s="251">
        <v>0</v>
      </c>
      <c r="E271" s="252">
        <v>14.07</v>
      </c>
      <c r="F271" s="253">
        <f t="shared" si="18"/>
        <v>0.35798793985191973</v>
      </c>
      <c r="G271" s="254">
        <f t="shared" si="19"/>
        <v>0.35798793985191973</v>
      </c>
      <c r="H271" s="255">
        <v>39.302999999999997</v>
      </c>
      <c r="I271" s="256">
        <v>3.8312584380668563E-2</v>
      </c>
      <c r="J271" s="257">
        <v>3.3991968749184961E-2</v>
      </c>
      <c r="K271" s="258">
        <f t="shared" si="21"/>
        <v>188.9257810669904</v>
      </c>
      <c r="L271" s="242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6">
        <v>45292</v>
      </c>
      <c r="C272" s="249">
        <f t="shared" si="17"/>
        <v>14.202466787634474</v>
      </c>
      <c r="D272" s="225">
        <v>2.4667876344748397E-3</v>
      </c>
      <c r="E272" s="249">
        <v>14.2</v>
      </c>
      <c r="F272" s="203">
        <f t="shared" si="18"/>
        <v>0.36287250025893542</v>
      </c>
      <c r="G272" s="204">
        <f t="shared" si="19"/>
        <v>0.36280947392626278</v>
      </c>
      <c r="H272" s="205">
        <v>39.139000000000003</v>
      </c>
      <c r="I272" s="206">
        <v>3.8725127208630042E-2</v>
      </c>
      <c r="J272" s="207">
        <v>3.4232338478782175E-2</v>
      </c>
      <c r="K272" s="238">
        <f t="shared" si="21"/>
        <v>188.99783012638693</v>
      </c>
      <c r="L272" s="259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6">
        <v>45323</v>
      </c>
      <c r="C273" s="249">
        <f t="shared" si="17"/>
        <v>15.434719101666696</v>
      </c>
      <c r="D273" s="225">
        <f>0.444719101666695</f>
        <v>0.44471910166669498</v>
      </c>
      <c r="E273" s="249">
        <v>14.99</v>
      </c>
      <c r="F273" s="203">
        <f t="shared" si="18"/>
        <v>0.39465900692082884</v>
      </c>
      <c r="G273" s="204">
        <f t="shared" si="19"/>
        <v>0.38328773428111174</v>
      </c>
      <c r="H273" s="205">
        <v>39.109000000000002</v>
      </c>
      <c r="I273" s="206">
        <v>3.9158552200166834E-2</v>
      </c>
      <c r="J273" s="207">
        <v>3.4866254381940347E-2</v>
      </c>
      <c r="K273" s="238">
        <f t="shared" si="21"/>
        <v>202.43435772782627</v>
      </c>
      <c r="L273" s="263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6">
        <v>45352</v>
      </c>
      <c r="C274" s="249">
        <f t="shared" si="17"/>
        <v>16.136467771275814</v>
      </c>
      <c r="D274" s="225">
        <f>0.446467771275814</f>
        <v>0.446467771275814</v>
      </c>
      <c r="E274" s="249">
        <v>15.69</v>
      </c>
      <c r="F274" s="203">
        <f t="shared" si="18"/>
        <v>0.41999083239051077</v>
      </c>
      <c r="G274" s="204">
        <f t="shared" si="19"/>
        <v>0.40837042242523619</v>
      </c>
      <c r="H274" s="205">
        <v>38.420999999999999</v>
      </c>
      <c r="I274" s="206">
        <v>4.0708798207810329E-2</v>
      </c>
      <c r="J274" s="207">
        <v>3.6245651001891595E-2</v>
      </c>
      <c r="K274" s="238">
        <f t="shared" si="21"/>
        <v>203.58112786505814</v>
      </c>
      <c r="L274" s="263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6">
        <v>45383</v>
      </c>
      <c r="C275" s="249">
        <f t="shared" si="17"/>
        <v>16.291173494065244</v>
      </c>
      <c r="D275" s="225">
        <v>0.45117349406524504</v>
      </c>
      <c r="E275" s="249">
        <v>15.84</v>
      </c>
      <c r="F275" s="203">
        <f t="shared" si="18"/>
        <v>0.42337829709881353</v>
      </c>
      <c r="G275" s="204">
        <f t="shared" si="19"/>
        <v>0.41165310948829231</v>
      </c>
      <c r="H275" s="205">
        <v>38.478999999999999</v>
      </c>
      <c r="I275" s="206">
        <v>4.1577304064527941E-2</v>
      </c>
      <c r="J275" s="207">
        <v>3.6383641863319723E-2</v>
      </c>
      <c r="K275" s="238">
        <f t="shared" si="21"/>
        <v>202.87944312331973</v>
      </c>
      <c r="L275" s="263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6">
        <v>45413</v>
      </c>
      <c r="C276" s="249">
        <f t="shared" si="17"/>
        <v>16.307808885434902</v>
      </c>
      <c r="D276" s="225">
        <v>0.45780888543490289</v>
      </c>
      <c r="E276" s="249">
        <v>15.85</v>
      </c>
      <c r="F276" s="203">
        <f t="shared" si="18"/>
        <v>0.42340349167709268</v>
      </c>
      <c r="G276" s="204">
        <f t="shared" si="19"/>
        <v>0.41151729151521449</v>
      </c>
      <c r="H276" s="205">
        <v>38.515999999999998</v>
      </c>
      <c r="I276" s="206">
        <v>4.1705038522421134E-2</v>
      </c>
      <c r="J276" s="207">
        <v>3.6336935266778052E-2</v>
      </c>
      <c r="K276" s="238">
        <f t="shared" si="21"/>
        <v>202.8757525198271</v>
      </c>
      <c r="L276" s="263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6">
        <v>45444</v>
      </c>
      <c r="C277" s="249">
        <f t="shared" si="17"/>
        <v>15.35</v>
      </c>
      <c r="D277" s="225">
        <v>0</v>
      </c>
      <c r="E277" s="249">
        <v>15.35</v>
      </c>
      <c r="F277" s="203">
        <f t="shared" si="18"/>
        <v>0.39090353468473055</v>
      </c>
      <c r="G277" s="204">
        <f t="shared" si="19"/>
        <v>0.39090353468473055</v>
      </c>
      <c r="H277" s="205">
        <v>39.268000000000001</v>
      </c>
      <c r="I277" s="206">
        <v>4.1524812551007546E-2</v>
      </c>
      <c r="J277" s="207">
        <v>3.6280527436353432E-2</v>
      </c>
      <c r="K277" s="238">
        <f t="shared" si="21"/>
        <v>191.54099993368212</v>
      </c>
      <c r="L277" s="241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6">
        <v>45474</v>
      </c>
      <c r="C278" s="249">
        <f t="shared" si="17"/>
        <v>16.048750103626539</v>
      </c>
      <c r="D278" s="225">
        <v>0.69875010362654011</v>
      </c>
      <c r="E278" s="249">
        <v>15.35</v>
      </c>
      <c r="F278" s="203">
        <f t="shared" si="18"/>
        <v>0.39960037108775803</v>
      </c>
      <c r="G278" s="204">
        <f t="shared" si="19"/>
        <v>0.38220208156964297</v>
      </c>
      <c r="H278" s="205">
        <v>40.161999999999999</v>
      </c>
      <c r="I278" s="206">
        <v>3.8876285684415007E-2</v>
      </c>
      <c r="J278" s="207">
        <v>3.5663429757588849E-2</v>
      </c>
      <c r="K278" s="238">
        <f t="shared" si="21"/>
        <v>209.03367671618076</v>
      </c>
      <c r="L278" s="263" t="s">
        <v>98</v>
      </c>
      <c r="M278" s="7"/>
      <c r="N278" s="7"/>
      <c r="O278" s="18"/>
      <c r="P278" s="7"/>
      <c r="Q278" s="7"/>
      <c r="R278" s="90"/>
    </row>
    <row r="279" spans="1:18" s="199" customFormat="1" ht="14.4" customHeight="1">
      <c r="A279" s="195"/>
      <c r="B279" s="236">
        <v>45505</v>
      </c>
      <c r="C279" s="249">
        <f t="shared" si="17"/>
        <v>16.257094942730532</v>
      </c>
      <c r="D279" s="225">
        <f>0.838698726322594+0.0949915635205971+0.0934046528873418</f>
        <v>1.0270949427305329</v>
      </c>
      <c r="E279" s="249">
        <v>15.23</v>
      </c>
      <c r="F279" s="203">
        <f t="shared" si="18"/>
        <v>0.40306180747584003</v>
      </c>
      <c r="G279" s="204">
        <f t="shared" si="19"/>
        <v>0.37759706451133035</v>
      </c>
      <c r="H279" s="205">
        <v>40.334000000000003</v>
      </c>
      <c r="I279" s="206">
        <v>3.8392180159529034E-2</v>
      </c>
      <c r="J279" s="207">
        <v>3.5451462926719302E-2</v>
      </c>
      <c r="K279" s="238">
        <f t="shared" si="21"/>
        <v>213.74334557958286</v>
      </c>
      <c r="L279" s="263" t="s">
        <v>102</v>
      </c>
      <c r="M279" s="196"/>
      <c r="N279" s="196"/>
      <c r="O279" s="197"/>
      <c r="P279" s="196"/>
      <c r="Q279" s="196"/>
      <c r="R279" s="198"/>
    </row>
    <row r="280" spans="1:18" s="199" customFormat="1" ht="14.4" customHeight="1">
      <c r="A280" s="195"/>
      <c r="B280" s="236">
        <v>45536</v>
      </c>
      <c r="C280" s="249">
        <f t="shared" si="17"/>
        <v>16.555598977904481</v>
      </c>
      <c r="D280" s="225">
        <f>0.836159517806744+0.0955175791228022+0.0939218809749354</f>
        <v>1.0255989779044816</v>
      </c>
      <c r="E280" s="249">
        <v>15.53</v>
      </c>
      <c r="F280" s="203">
        <f t="shared" si="18"/>
        <v>0.40281262719962241</v>
      </c>
      <c r="G280" s="204">
        <f t="shared" si="19"/>
        <v>0.37785888077858876</v>
      </c>
      <c r="H280" s="205">
        <v>41.1</v>
      </c>
      <c r="I280" s="206">
        <v>3.826170998141476E-2</v>
      </c>
      <c r="J280" s="207">
        <v>3.5383431538519902E-2</v>
      </c>
      <c r="K280" s="238">
        <f t="shared" si="21"/>
        <v>218.25468366539627</v>
      </c>
      <c r="L280" s="263" t="s">
        <v>103</v>
      </c>
      <c r="M280" s="196"/>
      <c r="N280" s="196"/>
      <c r="O280" s="197"/>
      <c r="P280" s="196"/>
      <c r="Q280" s="196"/>
      <c r="R280" s="198"/>
    </row>
    <row r="281" spans="1:18" s="199" customFormat="1" ht="14.4" customHeight="1">
      <c r="A281" s="195"/>
      <c r="B281" s="236">
        <v>45566</v>
      </c>
      <c r="C281" s="249">
        <f t="shared" si="17"/>
        <v>16.268556828232569</v>
      </c>
      <c r="D281" s="225">
        <f>0.838805682834601+0.0956747344763428+0.0940764109216256</f>
        <v>1.0285568282325694</v>
      </c>
      <c r="E281" s="249">
        <v>15.24</v>
      </c>
      <c r="F281" s="203">
        <f t="shared" si="18"/>
        <v>0.3915416805832147</v>
      </c>
      <c r="G281" s="204">
        <f t="shared" si="19"/>
        <v>0.36678700361010835</v>
      </c>
      <c r="H281" s="205">
        <v>41.55</v>
      </c>
      <c r="I281" s="206">
        <v>3.7466590450104913E-2</v>
      </c>
      <c r="J281" s="207">
        <v>3.4799365700196851E-2</v>
      </c>
      <c r="K281" s="238">
        <f t="shared" si="21"/>
        <v>218.56370839909147</v>
      </c>
      <c r="L281" s="263" t="s">
        <v>104</v>
      </c>
      <c r="M281" s="196"/>
      <c r="N281" s="196"/>
      <c r="O281" s="197"/>
      <c r="P281" s="196"/>
      <c r="Q281" s="196"/>
      <c r="R281" s="198"/>
    </row>
    <row r="282" spans="1:18" s="199" customFormat="1" ht="14.4" customHeight="1">
      <c r="A282" s="195"/>
      <c r="B282" s="236">
        <v>45597</v>
      </c>
      <c r="C282" s="225">
        <f t="shared" si="17"/>
        <v>16.591860867115837</v>
      </c>
      <c r="D282" s="225">
        <f>0.384279556238129+0.0945806786742134+0.0930006322034963</f>
        <v>0.57186086711583872</v>
      </c>
      <c r="E282" s="249">
        <v>16.02</v>
      </c>
      <c r="F282" s="203">
        <f t="shared" si="18"/>
        <v>0.39066329653447857</v>
      </c>
      <c r="G282" s="204">
        <f t="shared" si="19"/>
        <v>0.37719855901674088</v>
      </c>
      <c r="H282" s="205">
        <v>42.470999999999997</v>
      </c>
      <c r="I282" s="206">
        <v>3.7466723295477539E-2</v>
      </c>
      <c r="J282" s="207">
        <v>3.4179323235812006E-2</v>
      </c>
      <c r="K282" s="238">
        <f t="shared" si="21"/>
        <v>224.83589204845512</v>
      </c>
      <c r="L282" s="263" t="s">
        <v>105</v>
      </c>
      <c r="M282" s="196"/>
      <c r="N282" s="196"/>
      <c r="O282" s="197"/>
      <c r="P282" s="196"/>
      <c r="Q282" s="196"/>
      <c r="R282" s="198"/>
    </row>
    <row r="283" spans="1:18" s="199" customFormat="1" ht="14.4" customHeight="1">
      <c r="A283" s="195"/>
      <c r="B283" s="236">
        <v>45627</v>
      </c>
      <c r="C283" s="225">
        <f t="shared" si="17"/>
        <v>17.254154066110118</v>
      </c>
      <c r="D283" s="225">
        <f>0.566933052419144+0.0943990126420995+0.0928220010488745</f>
        <v>0.75415406611011804</v>
      </c>
      <c r="E283" s="249">
        <v>16.5</v>
      </c>
      <c r="F283" s="203">
        <f t="shared" si="18"/>
        <v>0.3920596711152291</v>
      </c>
      <c r="G283" s="204">
        <f t="shared" si="19"/>
        <v>0.37492331114090299</v>
      </c>
      <c r="H283" s="205">
        <v>44.009</v>
      </c>
      <c r="I283" s="206">
        <v>3.8215322853428969E-2</v>
      </c>
      <c r="J283" s="207">
        <v>3.4887538668535875E-2</v>
      </c>
      <c r="K283" s="238">
        <f t="shared" si="21"/>
        <v>229.15116509350361</v>
      </c>
      <c r="L283" s="263" t="s">
        <v>106</v>
      </c>
      <c r="M283" s="196"/>
      <c r="N283" s="196"/>
      <c r="O283" s="197"/>
      <c r="P283" s="196"/>
      <c r="Q283" s="196"/>
      <c r="R283" s="198"/>
    </row>
    <row r="284" spans="1:18" s="199" customFormat="1" ht="14.4" customHeight="1">
      <c r="A284" s="195"/>
      <c r="B284" s="226">
        <v>45658</v>
      </c>
      <c r="C284" s="228">
        <f t="shared" si="17"/>
        <v>18.134875224364666</v>
      </c>
      <c r="D284" s="228">
        <f>0.482523000428033+0.600672949706147+0.0916048031509924+0.0900744710794916</f>
        <v>1.2648752243646642</v>
      </c>
      <c r="E284" s="285">
        <v>16.87</v>
      </c>
      <c r="F284" s="230">
        <f t="shared" si="18"/>
        <v>0.41508068721365682</v>
      </c>
      <c r="G284" s="231">
        <f t="shared" si="19"/>
        <v>0.38612954909590297</v>
      </c>
      <c r="H284" s="232">
        <v>43.69</v>
      </c>
      <c r="I284" s="233">
        <v>3.8773369650315193E-2</v>
      </c>
      <c r="J284" s="234">
        <v>3.5085168773639756E-2</v>
      </c>
      <c r="K284" s="235">
        <f t="shared" si="21"/>
        <v>238.3837448020885</v>
      </c>
      <c r="L284" s="286" t="s">
        <v>107</v>
      </c>
      <c r="M284" s="196"/>
      <c r="N284" s="196"/>
      <c r="O284" s="197"/>
      <c r="P284" s="196"/>
      <c r="Q284" s="196"/>
      <c r="R284" s="198"/>
    </row>
    <row r="285" spans="1:18" s="199" customFormat="1" ht="14.4" customHeight="1">
      <c r="A285" s="195"/>
      <c r="B285" s="236">
        <v>45689</v>
      </c>
      <c r="C285" s="225">
        <f t="shared" si="17"/>
        <v>18.055108499168696</v>
      </c>
      <c r="D285" s="225">
        <f>0.0459622254675677+0.590533709554541+0.0900585322582547+0.0885540318883349</f>
        <v>0.81510849916869821</v>
      </c>
      <c r="E285" s="249">
        <v>17.239999999999998</v>
      </c>
      <c r="F285" s="203">
        <f t="shared" si="18"/>
        <v>0.4187468631669341</v>
      </c>
      <c r="G285" s="204">
        <f t="shared" si="19"/>
        <v>0.39984228958415474</v>
      </c>
      <c r="H285" s="205">
        <v>43.116999999999997</v>
      </c>
      <c r="I285" s="206">
        <v>4.0027431776091062E-2</v>
      </c>
      <c r="J285" s="207">
        <v>3.5620325139941712E-2</v>
      </c>
      <c r="K285" s="238">
        <f t="shared" si="21"/>
        <v>231.72176237886342</v>
      </c>
      <c r="L285" s="263" t="s">
        <v>108</v>
      </c>
      <c r="M285" s="196"/>
      <c r="N285" s="196"/>
      <c r="O285" s="197"/>
      <c r="P285" s="196"/>
      <c r="Q285" s="196"/>
      <c r="R285" s="198"/>
    </row>
    <row r="286" spans="1:18" s="199" customFormat="1" ht="14.4" customHeight="1">
      <c r="A286" s="195"/>
      <c r="B286" s="236">
        <v>45717</v>
      </c>
      <c r="C286" s="225">
        <f t="shared" si="17"/>
        <v>18.381820583265164</v>
      </c>
      <c r="D286" s="225">
        <f>0.592586986026578+0.0903716643663802+0.088861932872205</f>
        <v>0.77182058326516323</v>
      </c>
      <c r="E286" s="249">
        <v>17.61</v>
      </c>
      <c r="F286" s="203">
        <f t="shared" si="18"/>
        <v>0.43485653481737274</v>
      </c>
      <c r="G286" s="204">
        <f t="shared" si="19"/>
        <v>0.41659766743157245</v>
      </c>
      <c r="H286" s="205">
        <v>42.271000000000001</v>
      </c>
      <c r="I286" s="206">
        <v>4.080600372962493E-2</v>
      </c>
      <c r="J286" s="207">
        <v>3.6430504890503493E-2</v>
      </c>
      <c r="K286" s="238">
        <f t="shared" si="21"/>
        <v>231.06207245224908</v>
      </c>
      <c r="L286" s="263" t="s">
        <v>109</v>
      </c>
      <c r="M286" s="196"/>
      <c r="N286" s="196"/>
      <c r="O286" s="197"/>
      <c r="P286" s="196"/>
      <c r="Q286" s="196"/>
      <c r="R286" s="198"/>
    </row>
    <row r="287" spans="1:18" s="199" customFormat="1" ht="14.4" customHeight="1">
      <c r="A287" s="195"/>
      <c r="B287" s="236">
        <v>45748</v>
      </c>
      <c r="C287" s="225">
        <f t="shared" si="17"/>
        <v>18.21962865654822</v>
      </c>
      <c r="D287" s="225">
        <f>0.0262204442502061+0.0924765538336553+0.0909316584643564</f>
        <v>0.2096286565482178</v>
      </c>
      <c r="E287" s="249">
        <v>18.010000000000002</v>
      </c>
      <c r="F287" s="203">
        <f t="shared" si="18"/>
        <v>0.43068335515668066</v>
      </c>
      <c r="G287" s="204">
        <f t="shared" si="19"/>
        <v>0.4257280635400908</v>
      </c>
      <c r="H287" s="205">
        <v>42.304000000000002</v>
      </c>
      <c r="I287" s="206">
        <v>4.1570699189433236E-2</v>
      </c>
      <c r="J287" s="207">
        <v>3.7045818579167521E-2</v>
      </c>
      <c r="K287" s="238">
        <f t="shared" si="21"/>
        <v>225.00309556818544</v>
      </c>
      <c r="L287" s="263" t="s">
        <v>110</v>
      </c>
      <c r="M287" s="196"/>
      <c r="N287" s="196"/>
      <c r="O287" s="197"/>
      <c r="P287" s="196"/>
      <c r="Q287" s="196"/>
      <c r="R287" s="198"/>
    </row>
    <row r="288" spans="1:18" s="199" customFormat="1" ht="14.4" customHeight="1">
      <c r="A288" s="195"/>
      <c r="B288" s="236">
        <v>45778</v>
      </c>
      <c r="C288" s="225">
        <f t="shared" si="17"/>
        <v>17.910545122656139</v>
      </c>
      <c r="D288" s="225">
        <f>0.0171890407223618+0.0974923854061659+0.0958636965276117</f>
        <v>0.21054512265613939</v>
      </c>
      <c r="E288" s="249">
        <v>17.7</v>
      </c>
      <c r="F288" s="203">
        <f t="shared" si="18"/>
        <v>0.4296949552002336</v>
      </c>
      <c r="G288" s="204">
        <f t="shared" si="19"/>
        <v>0.42464373110695258</v>
      </c>
      <c r="H288" s="205">
        <v>41.682000000000002</v>
      </c>
      <c r="I288" s="206">
        <v>4.101702256227148E-2</v>
      </c>
      <c r="J288" s="207">
        <v>3.6300786139431433E-2</v>
      </c>
      <c r="K288" s="238">
        <f t="shared" si="21"/>
        <v>224.90133970231548</v>
      </c>
      <c r="L288" s="263" t="s">
        <v>110</v>
      </c>
      <c r="M288" s="196"/>
      <c r="N288" s="196"/>
      <c r="O288" s="197"/>
      <c r="P288" s="196"/>
      <c r="Q288" s="196"/>
      <c r="R288" s="198"/>
    </row>
    <row r="289" spans="1:18" s="199" customFormat="1" ht="14.4" customHeight="1">
      <c r="A289" s="195"/>
      <c r="B289" s="236">
        <v>45809</v>
      </c>
      <c r="C289" s="225">
        <f t="shared" si="17"/>
        <v>17.823437113366513</v>
      </c>
      <c r="D289" s="225">
        <v>3.4371133665121998E-3</v>
      </c>
      <c r="E289" s="249">
        <v>17.82</v>
      </c>
      <c r="F289" s="203">
        <f t="shared" si="18"/>
        <v>0.43627153065468532</v>
      </c>
      <c r="G289" s="204">
        <f t="shared" si="19"/>
        <v>0.4361873990306947</v>
      </c>
      <c r="H289" s="205">
        <v>40.853999999999999</v>
      </c>
      <c r="I289" s="206">
        <v>4.0772100720218342E-2</v>
      </c>
      <c r="J289" s="207">
        <v>3.6542690432764632E-2</v>
      </c>
      <c r="K289" s="238">
        <f t="shared" si="21"/>
        <v>223.81626618915374</v>
      </c>
      <c r="L289" s="263"/>
      <c r="M289" s="196"/>
      <c r="N289" s="196"/>
      <c r="O289" s="197"/>
      <c r="P289" s="196"/>
      <c r="Q289" s="196"/>
      <c r="R289" s="198"/>
    </row>
    <row r="290" spans="1:18" s="199" customFormat="1" ht="14.4" customHeight="1">
      <c r="A290" s="195"/>
      <c r="B290" s="236">
        <v>45839</v>
      </c>
      <c r="C290" s="225">
        <f t="shared" si="17"/>
        <v>17.60667227152063</v>
      </c>
      <c r="D290" s="225">
        <v>3.6672271520630607E-2</v>
      </c>
      <c r="E290" s="249">
        <v>17.57</v>
      </c>
      <c r="F290" s="203">
        <f t="shared" si="18"/>
        <v>0.43747632737466152</v>
      </c>
      <c r="G290" s="204">
        <f t="shared" si="19"/>
        <v>0.43656512448442081</v>
      </c>
      <c r="H290" s="205">
        <v>40.246000000000002</v>
      </c>
      <c r="I290" s="206">
        <v>3.9921896980652731E-2</v>
      </c>
      <c r="J290" s="207">
        <v>3.5995425867665826E-2</v>
      </c>
      <c r="K290" s="238">
        <f t="shared" si="21"/>
        <v>225.16411186475963</v>
      </c>
      <c r="L290" s="263"/>
      <c r="M290" s="196"/>
      <c r="N290" s="196"/>
      <c r="O290" s="197"/>
      <c r="P290" s="196"/>
      <c r="Q290" s="196"/>
      <c r="R290" s="198"/>
    </row>
    <row r="291" spans="1:18" s="199" customFormat="1" ht="14.4" customHeight="1">
      <c r="A291" s="195"/>
      <c r="B291" s="236">
        <v>45870</v>
      </c>
      <c r="C291" s="225">
        <f t="shared" si="17"/>
        <v>17.360172130174671</v>
      </c>
      <c r="D291" s="225">
        <v>2.0172130174670733E-2</v>
      </c>
      <c r="E291" s="249">
        <v>17.34</v>
      </c>
      <c r="F291" s="203">
        <f t="shared" si="18"/>
        <v>0.43353824963600807</v>
      </c>
      <c r="G291" s="204">
        <f t="shared" si="19"/>
        <v>0.4330344879254801</v>
      </c>
      <c r="H291" s="205">
        <v>40.042999999999999</v>
      </c>
      <c r="I291" s="206">
        <v>3.8706597420352519E-2</v>
      </c>
      <c r="J291" s="207">
        <v>3.5939411400485163E-2</v>
      </c>
      <c r="K291" s="238">
        <f t="shared" si="21"/>
        <v>225.7928630741242</v>
      </c>
      <c r="L291" s="263"/>
      <c r="M291" s="196"/>
      <c r="N291" s="196"/>
      <c r="O291" s="197"/>
      <c r="P291" s="196"/>
      <c r="Q291" s="196"/>
      <c r="R291" s="198"/>
    </row>
    <row r="292" spans="1:18" s="199" customFormat="1" ht="14.4" customHeight="1">
      <c r="A292" s="195"/>
      <c r="B292" s="236">
        <v>45901</v>
      </c>
      <c r="C292" s="225">
        <f t="shared" si="17"/>
        <v>17.379344958474494</v>
      </c>
      <c r="D292" s="225">
        <v>1.9344958474494831E-2</v>
      </c>
      <c r="E292" s="249">
        <v>17.36</v>
      </c>
      <c r="F292" s="203">
        <f t="shared" si="18"/>
        <v>0.43480973126030759</v>
      </c>
      <c r="G292" s="204">
        <f t="shared" si="19"/>
        <v>0.43432574430823118</v>
      </c>
      <c r="H292" s="205">
        <v>39.97</v>
      </c>
      <c r="I292" s="206">
        <v>3.8982627379481667E-2</v>
      </c>
      <c r="J292" s="207">
        <v>3.5954927886757138E-2</v>
      </c>
      <c r="K292" s="238">
        <f t="shared" si="21"/>
        <v>225.16280902377707</v>
      </c>
      <c r="L292" s="263"/>
      <c r="M292" s="196"/>
      <c r="N292" s="196"/>
      <c r="O292" s="197"/>
      <c r="P292" s="196"/>
      <c r="Q292" s="196"/>
      <c r="R292" s="198"/>
    </row>
    <row r="293" spans="1:18" s="199" customFormat="1" ht="14.4" customHeight="1">
      <c r="A293" s="195"/>
      <c r="B293" s="236">
        <v>45931</v>
      </c>
      <c r="C293" s="225">
        <f t="shared" si="17"/>
        <v>17.028347887022893</v>
      </c>
      <c r="D293" s="225">
        <v>1.8347887022889656E-2</v>
      </c>
      <c r="E293" s="249">
        <v>17.010000000000002</v>
      </c>
      <c r="F293" s="203">
        <f t="shared" si="18"/>
        <v>0.42652976697700301</v>
      </c>
      <c r="G293" s="204">
        <f t="shared" si="19"/>
        <v>0.42607018510632971</v>
      </c>
      <c r="H293" s="205">
        <v>39.923000000000002</v>
      </c>
      <c r="I293" s="206">
        <v>3.8772387806224523E-2</v>
      </c>
      <c r="J293" s="207">
        <v>3.5462052252551224E-2</v>
      </c>
      <c r="K293" s="238">
        <f t="shared" si="21"/>
        <v>222.70494094456652</v>
      </c>
      <c r="L293" s="263"/>
      <c r="M293" s="196"/>
      <c r="N293" s="196"/>
      <c r="O293" s="197"/>
      <c r="P293" s="196"/>
      <c r="Q293" s="196"/>
      <c r="R293" s="198"/>
    </row>
    <row r="294" spans="1:18" s="199" customFormat="1" ht="14.4" customHeight="1">
      <c r="A294" s="195"/>
      <c r="B294" s="236">
        <v>45962</v>
      </c>
      <c r="C294" s="225">
        <f t="shared" si="17"/>
        <v>16.817321827093544</v>
      </c>
      <c r="D294" s="225">
        <v>7.3218270935459214E-3</v>
      </c>
      <c r="E294" s="249">
        <v>16.809999999999999</v>
      </c>
      <c r="F294" s="203">
        <f t="shared" si="18"/>
        <v>0.42335418958547844</v>
      </c>
      <c r="G294" s="204">
        <f t="shared" si="19"/>
        <v>0.42316987211761153</v>
      </c>
      <c r="H294" s="205">
        <v>39.723999999999997</v>
      </c>
      <c r="I294" s="206">
        <v>3.8501859664163016E-2</v>
      </c>
      <c r="J294" s="207">
        <v>3.5059630436523832E-2</v>
      </c>
      <c r="K294" s="238">
        <f t="shared" si="21"/>
        <v>221.9571258978051</v>
      </c>
      <c r="L294" s="263"/>
      <c r="M294" s="196"/>
      <c r="N294" s="196"/>
      <c r="O294" s="197"/>
      <c r="P294" s="196"/>
      <c r="Q294" s="196"/>
      <c r="R294" s="198"/>
    </row>
    <row r="295" spans="1:18" s="199" customFormat="1" ht="14.4" customHeight="1">
      <c r="A295" s="195"/>
      <c r="B295" s="329">
        <v>45992</v>
      </c>
      <c r="C295" s="251">
        <f t="shared" si="17"/>
        <v>16.666737003816007</v>
      </c>
      <c r="D295" s="251">
        <v>6.7370038160060441E-3</v>
      </c>
      <c r="E295" s="345">
        <v>16.66</v>
      </c>
      <c r="F295" s="253">
        <f t="shared" si="18"/>
        <v>0.42572574021854981</v>
      </c>
      <c r="G295" s="254">
        <f t="shared" si="19"/>
        <v>0.42555365398860762</v>
      </c>
      <c r="H295" s="255">
        <v>39.149000000000001</v>
      </c>
      <c r="I295" s="256">
        <v>3.8844812809281072E-2</v>
      </c>
      <c r="J295" s="257">
        <v>3.4674430502197214E-2</v>
      </c>
      <c r="K295" s="258">
        <f t="shared" si="21"/>
        <v>220.09609094318526</v>
      </c>
      <c r="L295" s="338"/>
      <c r="M295" s="196"/>
      <c r="N295" s="196"/>
      <c r="O295" s="197"/>
      <c r="P295" s="196"/>
      <c r="Q295" s="196"/>
      <c r="R295" s="198"/>
    </row>
    <row r="296" spans="1:18" s="199" customFormat="1" ht="14.4" customHeight="1">
      <c r="A296" s="195"/>
      <c r="B296" s="236">
        <v>46023</v>
      </c>
      <c r="C296" s="277">
        <v>16.087724443768948</v>
      </c>
      <c r="D296" s="277">
        <v>7.1333961988045451E-3</v>
      </c>
      <c r="E296" s="276">
        <v>16.087724443768948</v>
      </c>
      <c r="F296" s="278">
        <f t="shared" si="18"/>
        <v>0.41852609182780376</v>
      </c>
      <c r="G296" s="279">
        <f t="shared" si="19"/>
        <v>0.41852609182780376</v>
      </c>
      <c r="H296" s="280">
        <v>38.439</v>
      </c>
      <c r="I296" s="281">
        <v>3.9941008548791256E-2</v>
      </c>
      <c r="J296" s="282">
        <v>3.516845399119628E-2</v>
      </c>
      <c r="K296" s="283">
        <f t="shared" si="21"/>
        <v>207.9518268033307</v>
      </c>
      <c r="L296" s="263"/>
      <c r="M296" s="196"/>
      <c r="N296" s="196"/>
      <c r="O296" s="197"/>
      <c r="P296" s="196"/>
      <c r="Q296" s="196"/>
      <c r="R296" s="198"/>
    </row>
    <row r="297" spans="1:18" s="199" customFormat="1" ht="14.4" customHeight="1">
      <c r="A297" s="195"/>
      <c r="B297" s="236">
        <v>46054</v>
      </c>
      <c r="C297" s="277">
        <v>16.511849716258542</v>
      </c>
      <c r="D297" s="277">
        <v>7.4405289607902729E-3</v>
      </c>
      <c r="E297" s="276">
        <v>16.511849716258542</v>
      </c>
      <c r="F297" s="278">
        <f t="shared" si="18"/>
        <v>0.42813414878674882</v>
      </c>
      <c r="G297" s="279">
        <f t="shared" si="19"/>
        <v>0.42813414878674882</v>
      </c>
      <c r="H297" s="280">
        <v>38.567</v>
      </c>
      <c r="I297" s="281">
        <v>4.0747026305396547E-2</v>
      </c>
      <c r="J297" s="282">
        <v>3.6135043709131683E-2</v>
      </c>
      <c r="K297" s="283">
        <f t="shared" si="21"/>
        <v>208.51314294204897</v>
      </c>
      <c r="L297" s="263"/>
      <c r="M297" s="196"/>
      <c r="N297" s="196"/>
      <c r="O297" s="197"/>
      <c r="P297" s="196"/>
      <c r="Q297" s="196"/>
      <c r="R297" s="198"/>
    </row>
    <row r="298" spans="1:18" s="199" customFormat="1" ht="14.4" customHeight="1">
      <c r="A298" s="195"/>
      <c r="B298" s="329">
        <v>46082</v>
      </c>
      <c r="C298" s="330">
        <v>16.88282948579424</v>
      </c>
      <c r="D298" s="330">
        <v>8.3954864794532329E-3</v>
      </c>
      <c r="E298" s="331">
        <v>16.88282948579424</v>
      </c>
      <c r="F298" s="332">
        <f t="shared" si="18"/>
        <v>0.4193658275571126</v>
      </c>
      <c r="G298" s="333">
        <f t="shared" si="19"/>
        <v>0.4193658275571126</v>
      </c>
      <c r="H298" s="334">
        <v>40.258000000000003</v>
      </c>
      <c r="I298" s="335">
        <v>4.2062417938768498E-2</v>
      </c>
      <c r="J298" s="336">
        <v>3.6753182245234967E-2</v>
      </c>
      <c r="K298" s="337">
        <f t="shared" si="21"/>
        <v>207.9676682012568</v>
      </c>
      <c r="L298" s="338"/>
      <c r="M298" s="196"/>
      <c r="N298" s="196"/>
      <c r="O298" s="197"/>
      <c r="P298" s="196"/>
      <c r="Q298" s="196"/>
      <c r="R298" s="198"/>
    </row>
    <row r="299" spans="1:18" s="199" customFormat="1" ht="14.4" customHeight="1">
      <c r="A299" s="344"/>
      <c r="B299" s="344"/>
      <c r="C299" s="344"/>
      <c r="D299" s="344"/>
      <c r="E299" s="344"/>
      <c r="F299" s="344"/>
      <c r="G299" s="344"/>
      <c r="H299" s="344"/>
      <c r="I299" s="344"/>
      <c r="J299" s="344"/>
      <c r="K299" s="344"/>
      <c r="L299" s="344"/>
      <c r="M299" s="196"/>
      <c r="N299" s="196"/>
      <c r="O299" s="197"/>
      <c r="P299" s="196"/>
      <c r="Q299" s="196"/>
      <c r="R299" s="198"/>
    </row>
    <row r="300" spans="1:18" s="199" customFormat="1" ht="14.4" customHeight="1">
      <c r="A300" s="344"/>
      <c r="B300" s="344"/>
      <c r="C300" s="344"/>
      <c r="D300" s="344"/>
      <c r="E300" s="344"/>
      <c r="F300" s="344"/>
      <c r="G300" s="344"/>
      <c r="H300" s="344"/>
      <c r="I300" s="344"/>
      <c r="J300" s="344"/>
      <c r="K300" s="344"/>
      <c r="L300" s="260"/>
      <c r="M300" s="196"/>
      <c r="N300" s="196"/>
      <c r="O300" s="197"/>
      <c r="P300" s="196"/>
      <c r="Q300" s="196"/>
      <c r="R300" s="198"/>
    </row>
    <row r="301" spans="1:18" ht="14.4" customHeight="1">
      <c r="A301" s="6"/>
      <c r="B301" s="11" t="s">
        <v>94</v>
      </c>
      <c r="C301" s="15"/>
      <c r="D301" s="15"/>
      <c r="E301" s="189"/>
      <c r="F301" s="15"/>
      <c r="G301" s="15"/>
      <c r="H301" s="15"/>
      <c r="I301" s="15"/>
      <c r="J301" s="15"/>
      <c r="K301" s="15"/>
      <c r="L301" s="15"/>
      <c r="M301" s="15"/>
      <c r="N301" s="15"/>
      <c r="O301" s="18"/>
      <c r="P301" s="7"/>
      <c r="Q301" s="7"/>
      <c r="R301" s="90"/>
    </row>
    <row r="302" spans="1:18" ht="14.4" customHeight="1">
      <c r="A302" s="6"/>
      <c r="B302" s="11" t="s">
        <v>95</v>
      </c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15"/>
      <c r="N302" s="15"/>
      <c r="O302" s="18"/>
      <c r="P302" s="7"/>
      <c r="Q302" s="7"/>
      <c r="R302" s="90"/>
    </row>
    <row r="303" spans="1:18" ht="14.4" customHeight="1">
      <c r="A303" s="6"/>
      <c r="B303" s="14" t="s">
        <v>96</v>
      </c>
      <c r="C303" s="15"/>
      <c r="D303" s="15"/>
      <c r="E303" s="189"/>
      <c r="F303" s="15"/>
      <c r="G303" s="15"/>
      <c r="H303" s="15"/>
      <c r="I303" s="15"/>
      <c r="J303" s="15"/>
      <c r="K303" s="15"/>
      <c r="L303" s="15"/>
      <c r="M303" s="15"/>
      <c r="N303" s="15"/>
      <c r="O303" s="18"/>
      <c r="P303" s="7"/>
      <c r="Q303" s="7"/>
      <c r="R303" s="90"/>
    </row>
    <row r="304" spans="1:18" ht="14.4" customHeight="1">
      <c r="A304" s="6"/>
      <c r="B304" s="190"/>
      <c r="C304" s="15"/>
      <c r="D304" s="15"/>
      <c r="E304" s="189"/>
      <c r="F304" s="15"/>
      <c r="G304" s="15"/>
      <c r="H304" s="15"/>
      <c r="I304" s="15"/>
      <c r="J304" s="15"/>
      <c r="K304" s="15"/>
      <c r="L304" s="15"/>
      <c r="M304" s="7"/>
      <c r="N304" s="7"/>
      <c r="O304" s="18"/>
      <c r="P304" s="7"/>
      <c r="Q304" s="7"/>
      <c r="R304" s="90"/>
    </row>
    <row r="305" spans="1:18" ht="15.75" customHeight="1">
      <c r="A305" s="49"/>
      <c r="B305" s="124"/>
      <c r="C305" s="63" t="s">
        <v>22</v>
      </c>
      <c r="D305" s="56"/>
      <c r="E305" s="189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191"/>
    </row>
    <row r="306" spans="1:18" ht="14.4" customHeight="1">
      <c r="A306" s="49"/>
      <c r="B306" s="125"/>
      <c r="C306" s="63" t="s">
        <v>24</v>
      </c>
      <c r="D306" s="56"/>
      <c r="E306" s="189"/>
      <c r="F306" s="56"/>
      <c r="G306" s="56"/>
      <c r="H306" s="56"/>
      <c r="I306" s="56"/>
      <c r="J306" s="56"/>
      <c r="K306" s="56"/>
      <c r="L306" s="56"/>
      <c r="M306" s="56"/>
      <c r="N306" s="65"/>
      <c r="O306" s="7"/>
      <c r="P306" s="56"/>
      <c r="Q306" s="56"/>
      <c r="R306" s="191"/>
    </row>
    <row r="307" spans="1:18" ht="14.4" customHeight="1">
      <c r="A307" s="6"/>
      <c r="B307" s="83"/>
      <c r="C307" s="192"/>
      <c r="D307" s="7"/>
      <c r="E307" s="189"/>
      <c r="F307" s="192"/>
      <c r="G307" s="7"/>
      <c r="H307" s="192"/>
      <c r="I307" s="192"/>
      <c r="J307" s="192"/>
      <c r="K307" s="192"/>
      <c r="L307" s="7"/>
      <c r="M307" s="7"/>
      <c r="N307" s="7"/>
      <c r="O307" s="7"/>
      <c r="P307" s="7"/>
      <c r="Q307" s="7"/>
      <c r="R307" s="90"/>
    </row>
    <row r="308" spans="1:18" ht="14.4" customHeight="1">
      <c r="A308" s="6"/>
      <c r="B308" s="7"/>
      <c r="C308" s="192"/>
      <c r="D308" s="7"/>
      <c r="E308" s="189"/>
      <c r="F308" s="192"/>
      <c r="G308" s="7"/>
      <c r="H308" s="192"/>
      <c r="I308" s="192"/>
      <c r="J308" s="192"/>
      <c r="K308" s="192"/>
      <c r="L308" s="7"/>
      <c r="M308" s="7"/>
      <c r="N308" s="7"/>
      <c r="O308" s="7"/>
      <c r="P308" s="7"/>
      <c r="Q308" s="7"/>
      <c r="R308" s="90"/>
    </row>
    <row r="309" spans="1:18" ht="14.4" customHeight="1">
      <c r="A309" s="85"/>
      <c r="B309" s="86"/>
      <c r="C309" s="193"/>
      <c r="D309" s="86"/>
      <c r="E309" s="86"/>
      <c r="F309" s="193"/>
      <c r="G309" s="86"/>
      <c r="H309" s="193"/>
      <c r="I309" s="193"/>
      <c r="J309" s="193"/>
      <c r="K309" s="193"/>
      <c r="L309" s="86"/>
      <c r="M309" s="86"/>
      <c r="N309" s="86"/>
      <c r="O309" s="86"/>
      <c r="P309" s="86"/>
      <c r="Q309" s="86"/>
      <c r="R309" s="129"/>
    </row>
    <row r="312" spans="1:18" ht="14.4" customHeight="1">
      <c r="C312" s="284"/>
    </row>
    <row r="313" spans="1:18" ht="14.4" customHeight="1">
      <c r="C313" s="284"/>
    </row>
    <row r="314" spans="1:18" ht="14.4" customHeight="1">
      <c r="C314" s="284"/>
    </row>
    <row r="315" spans="1:18" ht="14.4" customHeight="1">
      <c r="C315" s="284"/>
    </row>
    <row r="316" spans="1:18" ht="14.4" customHeight="1">
      <c r="C316" s="284"/>
    </row>
    <row r="317" spans="1:18" ht="14.4" customHeight="1">
      <c r="C317" s="284"/>
    </row>
    <row r="318" spans="1:18" ht="14.4" customHeight="1">
      <c r="C318" s="284"/>
    </row>
    <row r="319" spans="1:18" ht="14.4" customHeight="1">
      <c r="C319" s="284"/>
    </row>
    <row r="320" spans="1:18" ht="14.4" customHeight="1">
      <c r="C320" s="284"/>
    </row>
    <row r="321" spans="3:3" ht="14.4" customHeight="1">
      <c r="C321" s="284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100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2026-04-28T15:26:38Z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