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953" documentId="13_ncr:1_{C229F043-1FD6-4A9B-82A9-8F36A51AF250}" xr6:coauthVersionLast="47" xr6:coauthVersionMax="47" xr10:uidLastSave="{C6F2FCF9-02E0-4A80-A08E-3A6C6D0FD2B1}"/>
  <bookViews>
    <workbookView xWindow="-108" yWindow="-108" windowWidth="23256" windowHeight="12456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D279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P47" i="2"/>
  <c r="C283" i="3"/>
  <c r="K283" i="3" s="1"/>
  <c r="C282" i="3"/>
  <c r="K282" i="3" s="1"/>
  <c r="C284" i="3"/>
  <c r="P67" i="2"/>
  <c r="AJ35" i="1"/>
  <c r="AJ70" i="1"/>
  <c r="R70" i="1"/>
  <c r="R35" i="1"/>
  <c r="O105" i="1"/>
  <c r="AG70" i="1"/>
  <c r="O70" i="1"/>
  <c r="P70" i="1" s="1"/>
  <c r="O35" i="1"/>
  <c r="AG35" i="1"/>
  <c r="F284" i="3" l="1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6" i="2"/>
  <c r="R34" i="1"/>
  <c r="AJ34" i="1"/>
  <c r="AJ69" i="1"/>
  <c r="R69" i="1"/>
  <c r="C271" i="3"/>
  <c r="C270" i="3"/>
  <c r="C269" i="3"/>
  <c r="C268" i="3"/>
  <c r="C267" i="3"/>
  <c r="C266" i="3"/>
  <c r="C265" i="3"/>
  <c r="C263" i="3"/>
  <c r="C262" i="3"/>
  <c r="C261" i="3"/>
  <c r="C260" i="3"/>
  <c r="P65" i="2"/>
  <c r="P46" i="2"/>
  <c r="P45" i="2"/>
  <c r="O104" i="1"/>
  <c r="P105" i="1" s="1"/>
  <c r="AG69" i="1"/>
  <c r="AH70" i="1" s="1"/>
  <c r="O69" i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8" i="1"/>
  <c r="R68" i="1"/>
  <c r="R33" i="1"/>
  <c r="AJ33" i="1"/>
  <c r="AG68" i="1"/>
  <c r="AH69" i="1" s="1"/>
  <c r="O68" i="1"/>
  <c r="AG33" i="1"/>
  <c r="AH34" i="1" s="1"/>
  <c r="P69" i="1" l="1"/>
  <c r="K257" i="3"/>
  <c r="F257" i="3"/>
  <c r="K258" i="3"/>
  <c r="F258" i="3"/>
  <c r="K256" i="3"/>
  <c r="F256" i="3"/>
  <c r="K260" i="3"/>
  <c r="F260" i="3"/>
  <c r="K259" i="3"/>
  <c r="O103" i="1"/>
  <c r="P104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4" i="2"/>
  <c r="P63" i="2"/>
  <c r="P62" i="2"/>
  <c r="P61" i="2"/>
  <c r="P60" i="2"/>
  <c r="P59" i="2"/>
  <c r="P58" i="2"/>
  <c r="P57" i="2"/>
  <c r="P56" i="2"/>
  <c r="P44" i="2"/>
  <c r="P43" i="2"/>
  <c r="P42" i="2"/>
  <c r="P41" i="2"/>
  <c r="P40" i="2"/>
  <c r="P39" i="2"/>
  <c r="P38" i="2"/>
  <c r="P37" i="2"/>
  <c r="P36" i="2"/>
  <c r="P24" i="2"/>
  <c r="P23" i="2"/>
  <c r="P22" i="2"/>
  <c r="P21" i="2"/>
  <c r="P20" i="2"/>
  <c r="P19" i="2"/>
  <c r="P18" i="2"/>
  <c r="P17" i="2"/>
  <c r="P16" i="2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AJ67" i="1"/>
  <c r="AG67" i="1"/>
  <c r="AH68" i="1" s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J49" i="1"/>
  <c r="AG49" i="1"/>
  <c r="R49" i="1"/>
  <c r="O49" i="1"/>
  <c r="AG48" i="1"/>
  <c r="O48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2" i="1" l="1"/>
  <c r="P14" i="1"/>
  <c r="P90" i="1"/>
  <c r="AH27" i="1"/>
  <c r="P84" i="1"/>
  <c r="AH63" i="1"/>
  <c r="AH50" i="1"/>
  <c r="AH56" i="1"/>
  <c r="AH58" i="1"/>
  <c r="AH64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5" i="1"/>
  <c r="P93" i="1"/>
  <c r="P101" i="1"/>
  <c r="P52" i="1"/>
  <c r="AH23" i="1"/>
  <c r="P91" i="1"/>
  <c r="AH14" i="1"/>
  <c r="O30" i="1"/>
  <c r="P31" i="1" s="1"/>
  <c r="AH19" i="1"/>
  <c r="P88" i="1"/>
  <c r="P96" i="1"/>
  <c r="P32" i="1"/>
  <c r="AH52" i="1"/>
  <c r="AH53" i="1"/>
  <c r="AH55" i="1"/>
  <c r="AH57" i="1"/>
  <c r="AH59" i="1"/>
  <c r="AH61" i="1"/>
  <c r="AH65" i="1"/>
  <c r="P98" i="1"/>
  <c r="P17" i="1"/>
  <c r="P18" i="1"/>
  <c r="P21" i="1"/>
  <c r="P22" i="1"/>
  <c r="P25" i="1"/>
  <c r="P26" i="1"/>
  <c r="P49" i="1"/>
  <c r="P95" i="1"/>
  <c r="AH30" i="1"/>
  <c r="P56" i="1"/>
  <c r="P60" i="1"/>
  <c r="P64" i="1"/>
  <c r="P99" i="1"/>
  <c r="P87" i="1"/>
  <c r="AH18" i="1"/>
  <c r="AH26" i="1"/>
  <c r="AH51" i="1"/>
  <c r="AH24" i="1"/>
  <c r="AH62" i="1"/>
  <c r="AH32" i="1"/>
  <c r="AH20" i="1"/>
  <c r="O28" i="1"/>
  <c r="P103" i="1"/>
  <c r="P15" i="1"/>
  <c r="P33" i="1"/>
  <c r="P100" i="1"/>
  <c r="AH67" i="1"/>
  <c r="AH60" i="1"/>
  <c r="AH54" i="1"/>
  <c r="AH16" i="1"/>
  <c r="O29" i="1"/>
  <c r="AH49" i="1"/>
  <c r="P86" i="1"/>
  <c r="P94" i="1"/>
  <c r="P102" i="1"/>
  <c r="AH66" i="1"/>
  <c r="AH31" i="1"/>
  <c r="P51" i="1"/>
  <c r="P53" i="1"/>
  <c r="P55" i="1"/>
  <c r="P57" i="1"/>
  <c r="P59" i="1"/>
  <c r="P61" i="1"/>
  <c r="P63" i="1"/>
  <c r="P65" i="1"/>
  <c r="P67" i="1"/>
  <c r="O27" i="1"/>
  <c r="P27" i="1" s="1"/>
  <c r="P68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7" i="1"/>
  <c r="P89" i="1"/>
  <c r="P66" i="1"/>
  <c r="P62" i="1"/>
  <c r="P58" i="1"/>
  <c r="P54" i="1"/>
  <c r="P50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2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<sst xmlns="http://schemas.openxmlformats.org/spreadsheetml/2006/main" count="366" uniqueCount="108">
  <si>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</si>
  <si>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</si>
  <si>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</si>
  <si>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</si>
  <si>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</si>
  <si>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</si>
  <si>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</si>
  <si>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</si>
  <si>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</si>
  <si>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</si>
  <si>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</si>
  <si>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</si>
  <si>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</si>
  <si>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</si>
  <si>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</si>
  <si>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</si>
  <si>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</si>
  <si>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</si>
  <si>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</si>
  <si>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</si>
  <si>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</si>
  <si>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</si>
  <si>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</si>
  <si>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</si>
  <si>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</si>
  <si>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</si>
  <si>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</si>
  <si>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</si>
  <si>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</si>
  <si>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</si>
  <si>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</si>
  <si>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</si>
  <si>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</si>
  <si>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</si>
  <si>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</si>
  <si>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</si>
  <si>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</si>
  <si>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</si>
  <si>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</si>
  <si>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</si>
  <si>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</si>
  <si>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</si>
  <si>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</si>
  <si>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</si>
  <si>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</si>
  <si>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</si>
  <si>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</si>
  <si>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</si>
  <si>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</si>
  <si>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</si>
  <si>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</si>
  <si>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</si>
  <si>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</si>
  <si>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</si>
  <si>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</si>
  <si>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</si>
  <si>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</si>
  <si>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</si>
  <si>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</si>
  <si>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</si>
  <si>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</si>
  <si>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</si>
  <si>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</si>
  <si>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</si>
  <si>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</si>
  <si>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</si>
  <si>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</si>
  <si>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</si>
  <si>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</si>
  <si>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</si>
  <si>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</si>
  <si>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</si>
  <si>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</si>
  <si>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</si>
  <si>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</si>
  <si>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</si>
  <si>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</si>
  <si>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</si>
  <si>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</si>
  <si>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</si>
  <si>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</si>
  <si>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</si>
  <si>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</si>
  <si>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</si>
  <si>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</si>
  <si>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</si>
  <si>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</si>
  <si>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</si>
  <si>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</si>
  <si>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</si>
  <si>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</si>
  <si>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</si>
  <si>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</si>
  <si>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</si>
  <si>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</si>
  <si>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</si>
  <si>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</si>
  <si>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</si>
  <si>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</si>
  <si>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</si>
  <si>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1- Precio en tambo con reliquidaciones atribuibles al mes ($/lt)*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</si>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</sst>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3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7" fillId="2" borderId="14" xfId="0" applyNumberFormat="1" applyFont="1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>
      <alignment wrapText="1"/>
    </xf>
    <xf numFmtId="9" fontId="0" fillId="2" borderId="19" xfId="0" applyNumberFormat="1" applyFill="1" applyBorder="1"/>
    <xf numFmtId="165" fontId="0" fillId="2" borderId="19" xfId="0" applyNumberFormat="1" applyFill="1" applyBorder="1"/>
    <xf numFmtId="17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7" borderId="55" xfId="0" applyNumberFormat="1" applyFill="1" applyBorder="1" applyAlignment="1">
      <alignment horizontal="right"/>
    </xf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0" borderId="7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17" fontId="0" fillId="0" borderId="76" xfId="0" applyNumberFormat="1" applyFill="1" applyBorder="1" applyAlignment="1">
      <alignment horizontal="center"/>
    </xf>
    <xf numFmtId="2" fontId="0" fillId="7" borderId="8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3" xfId="0" applyFill="1" applyBorder="1"/>
    <xf numFmtId="0" fontId="6" fillId="0" borderId="21" xfId="0" applyNumberFormat="1" applyFont="1" applyFill="1" applyBorder="1" applyAlignment="1">
      <alignment horizontal="right"/>
    </xf>
    <xf numFmtId="2" fontId="6" fillId="0" borderId="22" xfId="0" applyNumberFormat="1" applyFont="1" applyFill="1" applyBorder="1"/>
    <xf numFmtId="9" fontId="6" fillId="0" borderId="23" xfId="0" applyNumberFormat="1" applyFont="1" applyFill="1" applyBorder="1"/>
    <xf numFmtId="9" fontId="6" fillId="0" borderId="22" xfId="1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7" xfId="0" applyNumberFormat="1" applyFill="1" applyBorder="1" applyAlignment="1">
      <alignment horizontal="center"/>
    </xf>
    <xf numFmtId="2" fontId="0" fillId="43" borderId="5" xfId="0" applyNumberFormat="1" applyFill="1" applyBorder="1" applyAlignment="1">
      <alignment horizontal="center"/>
    </xf>
    <xf numFmtId="2" fontId="0" fillId="0" borderId="83" xfId="0" applyNumberFormat="1" applyFill="1" applyBorder="1" applyAlignment="1">
      <alignment horizontal="right"/>
    </xf>
    <xf numFmtId="2" fontId="0" fillId="0" borderId="22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166" fontId="0" fillId="43" borderId="7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6"/>
  <sheetViews>
    <sheetView showGridLines="0" tabSelected="1" workbookViewId="0">
      <selection activeCell="Q42" sqref="Q42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>
      <c r="A10" s="6"/>
      <c r="B10" s="14"/>
      <c r="C10" s="15"/>
      <c r="D10" s="16"/>
      <c r="E10" s="318" t="s">
        <v>100</v>
      </c>
      <c r="F10" s="319"/>
      <c r="G10" s="319"/>
      <c r="H10" s="319"/>
      <c r="I10" s="319"/>
      <c r="J10" s="319"/>
      <c r="K10" s="319"/>
      <c r="L10" s="319"/>
      <c r="M10" s="320"/>
      <c r="N10" s="17"/>
      <c r="O10" s="7"/>
      <c r="P10" s="7"/>
      <c r="Q10" s="18"/>
      <c r="R10" s="7"/>
      <c r="S10" s="7"/>
      <c r="T10" s="19"/>
      <c r="U10" s="15"/>
      <c r="V10" s="16"/>
      <c r="W10" s="315" t="s">
        <v>3</v>
      </c>
      <c r="X10" s="316"/>
      <c r="Y10" s="316"/>
      <c r="Z10" s="316"/>
      <c r="AA10" s="316"/>
      <c r="AB10" s="316"/>
      <c r="AC10" s="316"/>
      <c r="AD10" s="316"/>
      <c r="AE10" s="317"/>
      <c r="AF10" s="17"/>
      <c r="AG10" s="7"/>
      <c r="AH10" s="7"/>
      <c r="AI10" s="18"/>
      <c r="AJ10" s="7"/>
      <c r="AK10" s="9"/>
    </row>
    <row r="11" spans="1:37" ht="15" customHeight="1">
      <c r="A11" s="6"/>
      <c r="B11" s="13"/>
      <c r="C11" s="13"/>
      <c r="D11" s="13"/>
      <c r="E11" s="20"/>
      <c r="F11" s="20"/>
      <c r="G11" s="20"/>
      <c r="H11" s="20"/>
      <c r="I11" s="20"/>
      <c r="J11" s="20"/>
      <c r="K11" s="20"/>
      <c r="L11" s="20"/>
      <c r="M11" s="20"/>
      <c r="N11" s="13"/>
      <c r="O11" s="13"/>
      <c r="P11" s="13"/>
      <c r="Q11" s="13"/>
      <c r="R11" s="13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>
      <c r="A12" s="22"/>
      <c r="B12" s="23" t="s">
        <v>4</v>
      </c>
      <c r="C12" s="24" t="s">
        <v>5</v>
      </c>
      <c r="D12" s="25" t="s">
        <v>6</v>
      </c>
      <c r="E12" s="25" t="s">
        <v>7</v>
      </c>
      <c r="F12" s="25" t="s">
        <v>8</v>
      </c>
      <c r="G12" s="25" t="s">
        <v>9</v>
      </c>
      <c r="H12" s="25" t="s">
        <v>10</v>
      </c>
      <c r="I12" s="25" t="s">
        <v>11</v>
      </c>
      <c r="J12" s="25" t="s">
        <v>12</v>
      </c>
      <c r="K12" s="25" t="s">
        <v>13</v>
      </c>
      <c r="L12" s="25" t="s">
        <v>14</v>
      </c>
      <c r="M12" s="25" t="s">
        <v>15</v>
      </c>
      <c r="N12" s="26" t="s">
        <v>16</v>
      </c>
      <c r="O12" s="24" t="s">
        <v>17</v>
      </c>
      <c r="P12" s="26" t="s">
        <v>18</v>
      </c>
      <c r="Q12" s="24" t="s">
        <v>19</v>
      </c>
      <c r="R12" s="26" t="s">
        <v>18</v>
      </c>
      <c r="S12" s="27"/>
      <c r="T12" s="28" t="s">
        <v>4</v>
      </c>
      <c r="U12" s="24" t="s">
        <v>5</v>
      </c>
      <c r="V12" s="25" t="s">
        <v>6</v>
      </c>
      <c r="W12" s="25" t="s">
        <v>7</v>
      </c>
      <c r="X12" s="25" t="s">
        <v>8</v>
      </c>
      <c r="Y12" s="25" t="s">
        <v>9</v>
      </c>
      <c r="Z12" s="25" t="s">
        <v>10</v>
      </c>
      <c r="AA12" s="25" t="s">
        <v>11</v>
      </c>
      <c r="AB12" s="25" t="s">
        <v>12</v>
      </c>
      <c r="AC12" s="25" t="s">
        <v>13</v>
      </c>
      <c r="AD12" s="25" t="s">
        <v>14</v>
      </c>
      <c r="AE12" s="25" t="s">
        <v>15</v>
      </c>
      <c r="AF12" s="26" t="s">
        <v>16</v>
      </c>
      <c r="AG12" s="24" t="s">
        <v>17</v>
      </c>
      <c r="AH12" s="26" t="s">
        <v>18</v>
      </c>
      <c r="AI12" s="24" t="s">
        <v>19</v>
      </c>
      <c r="AJ12" s="26" t="s">
        <v>18</v>
      </c>
      <c r="AK12" s="29"/>
    </row>
    <row r="13" spans="1:37" ht="14.4" customHeight="1">
      <c r="A13" s="22"/>
      <c r="B13" s="30">
        <v>2002</v>
      </c>
      <c r="C13" s="31">
        <v>1.84021900106215</v>
      </c>
      <c r="D13" s="32">
        <v>1.9389296086783401</v>
      </c>
      <c r="E13" s="32">
        <v>2.0463204879910499</v>
      </c>
      <c r="F13" s="32">
        <v>2.1911293104526601</v>
      </c>
      <c r="G13" s="32">
        <v>2.1898359248155899</v>
      </c>
      <c r="H13" s="32">
        <v>2.19793088410445</v>
      </c>
      <c r="I13" s="32">
        <v>2.2111885110099099</v>
      </c>
      <c r="J13" s="32">
        <v>2.4464783875238298</v>
      </c>
      <c r="K13" s="32">
        <v>2.4145018618058001</v>
      </c>
      <c r="L13" s="32">
        <v>2.77888691080895</v>
      </c>
      <c r="M13" s="32">
        <v>2.5104422311997401</v>
      </c>
      <c r="N13" s="33">
        <v>2.7192080836477999</v>
      </c>
      <c r="O13" s="34">
        <f t="shared" ref="O13:O33" si="0">AVERAGE(C13:N13)</f>
        <v>2.2904226002583559</v>
      </c>
      <c r="P13" s="35"/>
      <c r="Q13" s="34">
        <v>2.2904226002583599</v>
      </c>
      <c r="R13" s="35"/>
      <c r="S13" s="27"/>
      <c r="T13" s="36">
        <v>2002</v>
      </c>
      <c r="U13" s="31">
        <v>1.84021900106215</v>
      </c>
      <c r="V13" s="32">
        <v>1.9389296086783401</v>
      </c>
      <c r="W13" s="32">
        <v>2.0463204879910499</v>
      </c>
      <c r="X13" s="32">
        <v>2.1911293104526601</v>
      </c>
      <c r="Y13" s="32">
        <v>2.1898359248155899</v>
      </c>
      <c r="Z13" s="32">
        <v>2.19793088410445</v>
      </c>
      <c r="AA13" s="32">
        <v>2.2111885110099099</v>
      </c>
      <c r="AB13" s="32">
        <v>2.4464783875238298</v>
      </c>
      <c r="AC13" s="32">
        <v>2.4145018618058001</v>
      </c>
      <c r="AD13" s="32">
        <v>2.77888691080895</v>
      </c>
      <c r="AE13" s="32">
        <v>2.5104422311997401</v>
      </c>
      <c r="AF13" s="33">
        <v>2.7192080836477999</v>
      </c>
      <c r="AG13" s="34">
        <f t="shared" ref="AG13:AG32" si="1">AVERAGE(U13:AF13)</f>
        <v>2.2904226002583559</v>
      </c>
      <c r="AH13" s="35"/>
      <c r="AI13" s="34">
        <v>2.2904226002583599</v>
      </c>
      <c r="AJ13" s="35"/>
      <c r="AK13" s="29"/>
    </row>
    <row r="14" spans="1:37" ht="14.4" customHeight="1">
      <c r="A14" s="22"/>
      <c r="B14" s="37">
        <v>2003</v>
      </c>
      <c r="C14" s="38">
        <v>2.7195373159418899</v>
      </c>
      <c r="D14" s="39">
        <v>2.9293686479745702</v>
      </c>
      <c r="E14" s="39">
        <v>3.4185233892525</v>
      </c>
      <c r="F14" s="39">
        <v>3.4641721620218702</v>
      </c>
      <c r="G14" s="39">
        <v>3.48542496685794</v>
      </c>
      <c r="H14" s="39">
        <v>3.88843552299012</v>
      </c>
      <c r="I14" s="39">
        <v>3.8359177424105901</v>
      </c>
      <c r="J14" s="39">
        <v>3.8289739925928998</v>
      </c>
      <c r="K14" s="39">
        <v>3.8155056871358402</v>
      </c>
      <c r="L14" s="39">
        <v>3.7790245303646102</v>
      </c>
      <c r="M14" s="39">
        <v>3.7461694378702299</v>
      </c>
      <c r="N14" s="40">
        <v>3.7211031377778698</v>
      </c>
      <c r="O14" s="41">
        <f t="shared" si="0"/>
        <v>3.5526797110992443</v>
      </c>
      <c r="P14" s="42">
        <f t="shared" ref="P14:P32" si="2">O14/O13-1</f>
        <v>0.55110227723849214</v>
      </c>
      <c r="Q14" s="41">
        <v>3.5526797110992399</v>
      </c>
      <c r="R14" s="42">
        <f t="shared" ref="R14:R33" si="3">Q14/Q13-1</f>
        <v>0.55110227723848748</v>
      </c>
      <c r="S14" s="27"/>
      <c r="T14" s="43">
        <v>2003</v>
      </c>
      <c r="U14" s="38">
        <v>2.7195373159418899</v>
      </c>
      <c r="V14" s="39">
        <v>2.9293686479745702</v>
      </c>
      <c r="W14" s="39">
        <v>3.4185233892525</v>
      </c>
      <c r="X14" s="39">
        <v>3.4641721620218702</v>
      </c>
      <c r="Y14" s="39">
        <v>3.48542496685794</v>
      </c>
      <c r="Z14" s="39">
        <v>3.88843552299012</v>
      </c>
      <c r="AA14" s="39">
        <v>3.8359177424105901</v>
      </c>
      <c r="AB14" s="39">
        <v>3.8289739925928998</v>
      </c>
      <c r="AC14" s="39">
        <v>3.8155056871358402</v>
      </c>
      <c r="AD14" s="39">
        <v>3.7790245303646102</v>
      </c>
      <c r="AE14" s="39">
        <v>3.7461694378702299</v>
      </c>
      <c r="AF14" s="40">
        <v>3.7211031377778698</v>
      </c>
      <c r="AG14" s="41">
        <f t="shared" si="1"/>
        <v>3.5526797110992443</v>
      </c>
      <c r="AH14" s="42">
        <f t="shared" ref="AH14:AH32" si="4">AG14/AG13-1</f>
        <v>0.55110227723849214</v>
      </c>
      <c r="AI14" s="41">
        <v>3.5526797110992399</v>
      </c>
      <c r="AJ14" s="42">
        <f t="shared" ref="AJ14:AJ32" si="5">AI14/AI13-1</f>
        <v>0.55110227723848748</v>
      </c>
      <c r="AK14" s="29"/>
    </row>
    <row r="15" spans="1:37" ht="14.4" customHeight="1">
      <c r="A15" s="22"/>
      <c r="B15" s="37">
        <v>2004</v>
      </c>
      <c r="C15" s="38">
        <v>3.8102893729845602</v>
      </c>
      <c r="D15" s="39">
        <v>3.8941636765347201</v>
      </c>
      <c r="E15" s="39">
        <v>4.1238232142902396</v>
      </c>
      <c r="F15" s="39">
        <v>4.2020368147104898</v>
      </c>
      <c r="G15" s="39">
        <v>4.3905348575378502</v>
      </c>
      <c r="H15" s="39">
        <v>4.3388704730321201</v>
      </c>
      <c r="I15" s="39">
        <v>4.2909764735201401</v>
      </c>
      <c r="J15" s="39">
        <v>4.2376470479968598</v>
      </c>
      <c r="K15" s="39">
        <v>4.2988071867471902</v>
      </c>
      <c r="L15" s="39">
        <v>4.2660918951216997</v>
      </c>
      <c r="M15" s="39">
        <v>4.1467909047741998</v>
      </c>
      <c r="N15" s="40">
        <v>4.0925046293412297</v>
      </c>
      <c r="O15" s="41">
        <f t="shared" si="0"/>
        <v>4.1743780455492745</v>
      </c>
      <c r="P15" s="42">
        <f t="shared" si="2"/>
        <v>0.17499419734003241</v>
      </c>
      <c r="Q15" s="41">
        <v>4.1743780455492701</v>
      </c>
      <c r="R15" s="42">
        <f t="shared" si="3"/>
        <v>0.17499419734003263</v>
      </c>
      <c r="S15" s="27"/>
      <c r="T15" s="43">
        <v>2004</v>
      </c>
      <c r="U15" s="38">
        <v>3.8102893729845602</v>
      </c>
      <c r="V15" s="39">
        <v>3.8941636765347201</v>
      </c>
      <c r="W15" s="39">
        <v>4.1238232142902396</v>
      </c>
      <c r="X15" s="39">
        <v>4.2020368147104898</v>
      </c>
      <c r="Y15" s="39">
        <v>4.3905348575378502</v>
      </c>
      <c r="Z15" s="39">
        <v>4.3388704730321201</v>
      </c>
      <c r="AA15" s="39">
        <v>4.2909764735201401</v>
      </c>
      <c r="AB15" s="39">
        <v>4.2376470479968598</v>
      </c>
      <c r="AC15" s="39">
        <v>4.2988071867471902</v>
      </c>
      <c r="AD15" s="39">
        <v>4.2660918951216997</v>
      </c>
      <c r="AE15" s="39">
        <v>4.1467909047741998</v>
      </c>
      <c r="AF15" s="40">
        <v>4.0925046293412297</v>
      </c>
      <c r="AG15" s="41">
        <f t="shared" si="1"/>
        <v>4.1743780455492745</v>
      </c>
      <c r="AH15" s="42">
        <f t="shared" si="4"/>
        <v>0.17499419734003241</v>
      </c>
      <c r="AI15" s="41">
        <v>4.1743780455492701</v>
      </c>
      <c r="AJ15" s="42">
        <f t="shared" si="5"/>
        <v>0.17499419734003263</v>
      </c>
      <c r="AK15" s="29"/>
    </row>
    <row r="16" spans="1:37" ht="14.4" customHeight="1">
      <c r="A16" s="22"/>
      <c r="B16" s="37">
        <v>2005</v>
      </c>
      <c r="C16" s="38">
        <v>4.1243005711727303</v>
      </c>
      <c r="D16" s="39">
        <v>4.1450482539267801</v>
      </c>
      <c r="E16" s="39">
        <v>4.2594700202596103</v>
      </c>
      <c r="F16" s="39">
        <v>4.3980265723411396</v>
      </c>
      <c r="G16" s="39">
        <v>4.3483425078779101</v>
      </c>
      <c r="H16" s="39">
        <v>4.3335434253105003</v>
      </c>
      <c r="I16" s="39">
        <v>4.2936383620685499</v>
      </c>
      <c r="J16" s="39">
        <v>4.1173546849829297</v>
      </c>
      <c r="K16" s="39">
        <v>4.2229565526802197</v>
      </c>
      <c r="L16" s="39">
        <v>4.1642437904236802</v>
      </c>
      <c r="M16" s="39">
        <v>4.1663259256106899</v>
      </c>
      <c r="N16" s="40">
        <v>4.1492099278294603</v>
      </c>
      <c r="O16" s="41">
        <f t="shared" si="0"/>
        <v>4.2268717162070173</v>
      </c>
      <c r="P16" s="42">
        <f t="shared" si="2"/>
        <v>1.2575207632119279E-2</v>
      </c>
      <c r="Q16" s="41">
        <v>4.22687171620702</v>
      </c>
      <c r="R16" s="42">
        <f t="shared" si="3"/>
        <v>1.2575207632121055E-2</v>
      </c>
      <c r="S16" s="27"/>
      <c r="T16" s="43">
        <v>2005</v>
      </c>
      <c r="U16" s="38">
        <v>4.1243005711727303</v>
      </c>
      <c r="V16" s="39">
        <v>4.1450482539267801</v>
      </c>
      <c r="W16" s="39">
        <v>4.2594700202596103</v>
      </c>
      <c r="X16" s="39">
        <v>4.3980265723411396</v>
      </c>
      <c r="Y16" s="39">
        <v>4.3483425078779101</v>
      </c>
      <c r="Z16" s="39">
        <v>4.3335434253105003</v>
      </c>
      <c r="AA16" s="39">
        <v>4.2936383620685499</v>
      </c>
      <c r="AB16" s="39">
        <v>4.1173546849829297</v>
      </c>
      <c r="AC16" s="39">
        <v>4.2229565526802197</v>
      </c>
      <c r="AD16" s="39">
        <v>4.1642437904236802</v>
      </c>
      <c r="AE16" s="39">
        <v>4.1663259256106899</v>
      </c>
      <c r="AF16" s="40">
        <v>4.1492099278294603</v>
      </c>
      <c r="AG16" s="41">
        <f t="shared" si="1"/>
        <v>4.2268717162070173</v>
      </c>
      <c r="AH16" s="42">
        <f t="shared" si="4"/>
        <v>1.2575207632119279E-2</v>
      </c>
      <c r="AI16" s="41">
        <v>4.22687171620702</v>
      </c>
      <c r="AJ16" s="42">
        <f t="shared" si="5"/>
        <v>1.2575207632121055E-2</v>
      </c>
      <c r="AK16" s="29"/>
    </row>
    <row r="17" spans="1:37" ht="14.4" customHeight="1">
      <c r="A17" s="22"/>
      <c r="B17" s="37">
        <v>2006</v>
      </c>
      <c r="C17" s="38">
        <v>3.9836137596799399</v>
      </c>
      <c r="D17" s="39">
        <v>4.07545936565006</v>
      </c>
      <c r="E17" s="39">
        <v>4.4180741666050398</v>
      </c>
      <c r="F17" s="39">
        <v>4.4854991202477299</v>
      </c>
      <c r="G17" s="39">
        <v>4.4652875560699403</v>
      </c>
      <c r="H17" s="39">
        <v>4.4212880944671404</v>
      </c>
      <c r="I17" s="39">
        <v>4.3529882668523499</v>
      </c>
      <c r="J17" s="39">
        <v>4.15747128390763</v>
      </c>
      <c r="K17" s="39">
        <v>3.87553338670428</v>
      </c>
      <c r="L17" s="39">
        <v>3.8233563182014301</v>
      </c>
      <c r="M17" s="39">
        <v>3.7759465837253501</v>
      </c>
      <c r="N17" s="40">
        <v>3.7215982735167499</v>
      </c>
      <c r="O17" s="41">
        <f t="shared" si="0"/>
        <v>4.12967634796897</v>
      </c>
      <c r="P17" s="42">
        <f t="shared" si="2"/>
        <v>-2.2994634037596384E-2</v>
      </c>
      <c r="Q17" s="41">
        <v>4.12967634796897</v>
      </c>
      <c r="R17" s="42">
        <f t="shared" si="3"/>
        <v>-2.299463403759705E-2</v>
      </c>
      <c r="S17" s="27"/>
      <c r="T17" s="43">
        <v>2006</v>
      </c>
      <c r="U17" s="38">
        <v>3.9836137596799399</v>
      </c>
      <c r="V17" s="39">
        <v>4.07545936565006</v>
      </c>
      <c r="W17" s="39">
        <v>4.4180741666050398</v>
      </c>
      <c r="X17" s="39">
        <v>4.4854991202477299</v>
      </c>
      <c r="Y17" s="39">
        <v>4.4652875560699403</v>
      </c>
      <c r="Z17" s="39">
        <v>4.4212880944671404</v>
      </c>
      <c r="AA17" s="39">
        <v>4.3529882668523499</v>
      </c>
      <c r="AB17" s="39">
        <v>4.15747128390763</v>
      </c>
      <c r="AC17" s="39">
        <v>3.87553338670428</v>
      </c>
      <c r="AD17" s="39">
        <v>3.8233563182014301</v>
      </c>
      <c r="AE17" s="39">
        <v>3.7759465837253501</v>
      </c>
      <c r="AF17" s="40">
        <v>3.7215982735167499</v>
      </c>
      <c r="AG17" s="41">
        <f t="shared" si="1"/>
        <v>4.12967634796897</v>
      </c>
      <c r="AH17" s="42">
        <f t="shared" si="4"/>
        <v>-2.2994634037596384E-2</v>
      </c>
      <c r="AI17" s="41">
        <v>4.12967634796897</v>
      </c>
      <c r="AJ17" s="42">
        <f t="shared" si="5"/>
        <v>-2.299463403759705E-2</v>
      </c>
      <c r="AK17" s="29"/>
    </row>
    <row r="18" spans="1:37" ht="14.4" customHeight="1">
      <c r="A18" s="22"/>
      <c r="B18" s="37">
        <v>2007</v>
      </c>
      <c r="C18" s="38">
        <v>4.2183971560830802</v>
      </c>
      <c r="D18" s="39">
        <v>4.3301085522307696</v>
      </c>
      <c r="E18" s="39">
        <v>4.9077779215526904</v>
      </c>
      <c r="F18" s="39">
        <v>5.1923896583900904</v>
      </c>
      <c r="G18" s="39">
        <v>5.9008064635337503</v>
      </c>
      <c r="H18" s="39">
        <v>5.8534151237514003</v>
      </c>
      <c r="I18" s="39">
        <v>5.7613737465225503</v>
      </c>
      <c r="J18" s="39">
        <v>6.5213279999999996</v>
      </c>
      <c r="K18" s="39">
        <v>7.2393999999999998</v>
      </c>
      <c r="L18" s="39">
        <v>7.3669159999999998</v>
      </c>
      <c r="M18" s="39">
        <v>7.2737249999999998</v>
      </c>
      <c r="N18" s="40">
        <v>7.5358007999999996</v>
      </c>
      <c r="O18" s="41">
        <f t="shared" si="0"/>
        <v>6.0084532018386945</v>
      </c>
      <c r="P18" s="42">
        <f t="shared" si="2"/>
        <v>0.45494530214062223</v>
      </c>
      <c r="Q18" s="41">
        <v>6.00845320183869</v>
      </c>
      <c r="R18" s="42">
        <f t="shared" si="3"/>
        <v>0.45494530214062112</v>
      </c>
      <c r="S18" s="27"/>
      <c r="T18" s="43">
        <v>2007</v>
      </c>
      <c r="U18" s="38">
        <v>4.2183971560830802</v>
      </c>
      <c r="V18" s="39">
        <v>4.3301085522307696</v>
      </c>
      <c r="W18" s="39">
        <v>4.9077779215526904</v>
      </c>
      <c r="X18" s="39">
        <v>5.1923896583900904</v>
      </c>
      <c r="Y18" s="39">
        <v>5.9008064635337503</v>
      </c>
      <c r="Z18" s="39">
        <v>5.8534151237514003</v>
      </c>
      <c r="AA18" s="39">
        <v>5.7613737465225503</v>
      </c>
      <c r="AB18" s="39">
        <v>6.5213279999999996</v>
      </c>
      <c r="AC18" s="39">
        <v>7.2393999999999998</v>
      </c>
      <c r="AD18" s="39">
        <v>7.3669159999999998</v>
      </c>
      <c r="AE18" s="39">
        <v>7.2737249999999998</v>
      </c>
      <c r="AF18" s="40">
        <v>7.5358007999999996</v>
      </c>
      <c r="AG18" s="41">
        <f t="shared" si="1"/>
        <v>6.0084532018386945</v>
      </c>
      <c r="AH18" s="42">
        <f t="shared" si="4"/>
        <v>0.45494530214062223</v>
      </c>
      <c r="AI18" s="41">
        <v>6.00845320183869</v>
      </c>
      <c r="AJ18" s="42">
        <f t="shared" si="5"/>
        <v>0.45494530214062112</v>
      </c>
      <c r="AK18" s="29"/>
    </row>
    <row r="19" spans="1:37" ht="14.4" customHeight="1">
      <c r="A19" s="22"/>
      <c r="B19" s="37">
        <v>2008</v>
      </c>
      <c r="C19" s="38">
        <v>7.98604</v>
      </c>
      <c r="D19" s="39">
        <v>8.1486803999999999</v>
      </c>
      <c r="E19" s="39">
        <v>8.3087622360826892</v>
      </c>
      <c r="F19" s="39">
        <v>8.5299999999999994</v>
      </c>
      <c r="G19" s="39">
        <v>8.49</v>
      </c>
      <c r="H19" s="39">
        <v>8.5</v>
      </c>
      <c r="I19" s="39">
        <v>8</v>
      </c>
      <c r="J19" s="39">
        <v>7.1725702990707996</v>
      </c>
      <c r="K19" s="39">
        <v>6.28</v>
      </c>
      <c r="L19" s="39">
        <v>5.4144838160314599</v>
      </c>
      <c r="M19" s="39">
        <v>4.93409415673485</v>
      </c>
      <c r="N19" s="40">
        <v>4.76</v>
      </c>
      <c r="O19" s="41">
        <f t="shared" si="0"/>
        <v>7.2103859089933167</v>
      </c>
      <c r="P19" s="42">
        <f t="shared" si="2"/>
        <v>0.20004028770446425</v>
      </c>
      <c r="Q19" s="41">
        <v>7.2103859089933202</v>
      </c>
      <c r="R19" s="42">
        <f t="shared" si="3"/>
        <v>0.2000402877044658</v>
      </c>
      <c r="S19" s="27"/>
      <c r="T19" s="43">
        <v>2008</v>
      </c>
      <c r="U19" s="38">
        <v>7.98604</v>
      </c>
      <c r="V19" s="39">
        <v>8.1486803999999999</v>
      </c>
      <c r="W19" s="39">
        <v>8.3087622360826892</v>
      </c>
      <c r="X19" s="39">
        <v>8.5299999999999994</v>
      </c>
      <c r="Y19" s="39">
        <v>8.49</v>
      </c>
      <c r="Z19" s="39">
        <v>8.5</v>
      </c>
      <c r="AA19" s="39">
        <v>8</v>
      </c>
      <c r="AB19" s="39">
        <v>7.1725702990707996</v>
      </c>
      <c r="AC19" s="39">
        <v>6.28</v>
      </c>
      <c r="AD19" s="39">
        <v>5.4144838160314599</v>
      </c>
      <c r="AE19" s="39">
        <v>4.93409415673485</v>
      </c>
      <c r="AF19" s="40">
        <v>4.76</v>
      </c>
      <c r="AG19" s="41">
        <f t="shared" si="1"/>
        <v>7.2103859089933167</v>
      </c>
      <c r="AH19" s="42">
        <f t="shared" si="4"/>
        <v>0.20004028770446425</v>
      </c>
      <c r="AI19" s="41">
        <v>7.2103859089933202</v>
      </c>
      <c r="AJ19" s="42">
        <f t="shared" si="5"/>
        <v>0.2000402877044658</v>
      </c>
      <c r="AK19" s="29"/>
    </row>
    <row r="20" spans="1:37" ht="14.4" customHeight="1">
      <c r="A20" s="22"/>
      <c r="B20" s="37">
        <v>2009</v>
      </c>
      <c r="C20" s="38">
        <v>4.6100000000000003</v>
      </c>
      <c r="D20" s="39">
        <v>4.75</v>
      </c>
      <c r="E20" s="39">
        <v>4.84</v>
      </c>
      <c r="F20" s="39">
        <v>4.87</v>
      </c>
      <c r="G20" s="39">
        <v>5.1343449269574304</v>
      </c>
      <c r="H20" s="39">
        <v>5.2298207503041496</v>
      </c>
      <c r="I20" s="39">
        <v>5.2021232694498103</v>
      </c>
      <c r="J20" s="39">
        <v>4.95</v>
      </c>
      <c r="K20" s="39">
        <v>5.04</v>
      </c>
      <c r="L20" s="39">
        <v>5.07051505201715</v>
      </c>
      <c r="M20" s="39">
        <v>5.84</v>
      </c>
      <c r="N20" s="40">
        <v>5.52</v>
      </c>
      <c r="O20" s="41">
        <f t="shared" si="0"/>
        <v>5.0880669998940453</v>
      </c>
      <c r="P20" s="42">
        <f t="shared" si="2"/>
        <v>-0.29434193063815917</v>
      </c>
      <c r="Q20" s="41">
        <v>5.08806699989404</v>
      </c>
      <c r="R20" s="42">
        <f t="shared" si="3"/>
        <v>-0.29434193063816028</v>
      </c>
      <c r="S20" s="27"/>
      <c r="T20" s="43">
        <v>2009</v>
      </c>
      <c r="U20" s="38">
        <v>4.6100000000000003</v>
      </c>
      <c r="V20" s="39">
        <v>4.75</v>
      </c>
      <c r="W20" s="39">
        <v>4.84</v>
      </c>
      <c r="X20" s="39">
        <v>4.87</v>
      </c>
      <c r="Y20" s="39">
        <v>5.1343449269574304</v>
      </c>
      <c r="Z20" s="39">
        <v>5.2298207503041496</v>
      </c>
      <c r="AA20" s="39">
        <v>5.2021232694498103</v>
      </c>
      <c r="AB20" s="39">
        <v>4.95</v>
      </c>
      <c r="AC20" s="39">
        <v>5.04</v>
      </c>
      <c r="AD20" s="39">
        <v>5.07051505201715</v>
      </c>
      <c r="AE20" s="39">
        <v>5.84</v>
      </c>
      <c r="AF20" s="40">
        <v>5.52</v>
      </c>
      <c r="AG20" s="41">
        <f t="shared" si="1"/>
        <v>5.0880669998940453</v>
      </c>
      <c r="AH20" s="42">
        <f t="shared" si="4"/>
        <v>-0.29434193063815917</v>
      </c>
      <c r="AI20" s="41">
        <v>5.08806699989404</v>
      </c>
      <c r="AJ20" s="42">
        <f t="shared" si="5"/>
        <v>-0.29434193063816028</v>
      </c>
      <c r="AK20" s="29"/>
    </row>
    <row r="21" spans="1:37" ht="14.4" customHeight="1">
      <c r="A21" s="22"/>
      <c r="B21" s="37">
        <v>2010</v>
      </c>
      <c r="C21" s="38">
        <v>5.5590194184612303</v>
      </c>
      <c r="D21" s="39">
        <v>5.97</v>
      </c>
      <c r="E21" s="39">
        <v>6.31</v>
      </c>
      <c r="F21" s="39">
        <v>6.53</v>
      </c>
      <c r="G21" s="39">
        <v>6.55</v>
      </c>
      <c r="H21" s="39">
        <v>6.51</v>
      </c>
      <c r="I21" s="39">
        <v>6.51</v>
      </c>
      <c r="J21" s="39">
        <v>6.61</v>
      </c>
      <c r="K21" s="39">
        <v>6.51</v>
      </c>
      <c r="L21" s="39">
        <v>6.58</v>
      </c>
      <c r="M21" s="39">
        <v>6.5</v>
      </c>
      <c r="N21" s="40">
        <v>6.82</v>
      </c>
      <c r="O21" s="41">
        <f t="shared" si="0"/>
        <v>6.413251618205102</v>
      </c>
      <c r="P21" s="42">
        <f t="shared" si="2"/>
        <v>0.26044952205595018</v>
      </c>
      <c r="Q21" s="41">
        <v>6.4132516182051003</v>
      </c>
      <c r="R21" s="42">
        <f t="shared" si="3"/>
        <v>0.26044952205595129</v>
      </c>
      <c r="S21" s="27"/>
      <c r="T21" s="43">
        <v>2010</v>
      </c>
      <c r="U21" s="38">
        <v>5.5590194184612303</v>
      </c>
      <c r="V21" s="39">
        <v>5.97</v>
      </c>
      <c r="W21" s="39">
        <v>6.31</v>
      </c>
      <c r="X21" s="39">
        <v>6.53</v>
      </c>
      <c r="Y21" s="39">
        <v>6.55</v>
      </c>
      <c r="Z21" s="39">
        <v>6.51</v>
      </c>
      <c r="AA21" s="39">
        <v>6.51</v>
      </c>
      <c r="AB21" s="39">
        <v>6.61</v>
      </c>
      <c r="AC21" s="39">
        <v>6.51</v>
      </c>
      <c r="AD21" s="39">
        <v>6.58</v>
      </c>
      <c r="AE21" s="39">
        <v>6.5</v>
      </c>
      <c r="AF21" s="40">
        <v>6.82</v>
      </c>
      <c r="AG21" s="41">
        <f t="shared" si="1"/>
        <v>6.413251618205102</v>
      </c>
      <c r="AH21" s="42">
        <f t="shared" si="4"/>
        <v>0.26044952205595018</v>
      </c>
      <c r="AI21" s="41">
        <v>6.4132516182051003</v>
      </c>
      <c r="AJ21" s="42">
        <f t="shared" si="5"/>
        <v>0.26044952205595129</v>
      </c>
      <c r="AK21" s="29"/>
    </row>
    <row r="22" spans="1:37" ht="14.4" customHeight="1">
      <c r="A22" s="22"/>
      <c r="B22" s="37">
        <v>2011</v>
      </c>
      <c r="C22" s="38">
        <v>7.18</v>
      </c>
      <c r="D22" s="39">
        <v>7.66</v>
      </c>
      <c r="E22" s="39">
        <v>8.1999999999999993</v>
      </c>
      <c r="F22" s="39">
        <v>8.31</v>
      </c>
      <c r="G22" s="39">
        <v>8.3800000000000008</v>
      </c>
      <c r="H22" s="39">
        <v>8.34</v>
      </c>
      <c r="I22" s="39">
        <v>8.25</v>
      </c>
      <c r="J22" s="39">
        <v>7.95</v>
      </c>
      <c r="K22" s="39">
        <v>7.81</v>
      </c>
      <c r="L22" s="39">
        <v>7.68</v>
      </c>
      <c r="M22" s="39">
        <v>7.51</v>
      </c>
      <c r="N22" s="40">
        <v>7.54</v>
      </c>
      <c r="O22" s="41">
        <f t="shared" si="0"/>
        <v>7.9008333333333356</v>
      </c>
      <c r="P22" s="42">
        <f t="shared" si="2"/>
        <v>0.23195436631637545</v>
      </c>
      <c r="Q22" s="41">
        <v>7.90083333333334</v>
      </c>
      <c r="R22" s="42">
        <f t="shared" si="3"/>
        <v>0.23195436631637634</v>
      </c>
      <c r="S22" s="27"/>
      <c r="T22" s="43">
        <v>2011</v>
      </c>
      <c r="U22" s="38">
        <v>7.18</v>
      </c>
      <c r="V22" s="39">
        <v>7.66</v>
      </c>
      <c r="W22" s="39">
        <v>8.1999999999999993</v>
      </c>
      <c r="X22" s="39">
        <v>8.31</v>
      </c>
      <c r="Y22" s="39">
        <v>8.3800000000000008</v>
      </c>
      <c r="Z22" s="39">
        <v>8.34</v>
      </c>
      <c r="AA22" s="39">
        <v>8.25</v>
      </c>
      <c r="AB22" s="39">
        <v>7.95</v>
      </c>
      <c r="AC22" s="39">
        <v>7.81</v>
      </c>
      <c r="AD22" s="39">
        <v>7.68</v>
      </c>
      <c r="AE22" s="39">
        <v>7.51</v>
      </c>
      <c r="AF22" s="40">
        <v>7.54</v>
      </c>
      <c r="AG22" s="41">
        <f t="shared" si="1"/>
        <v>7.9008333333333356</v>
      </c>
      <c r="AH22" s="42">
        <f t="shared" si="4"/>
        <v>0.23195436631637545</v>
      </c>
      <c r="AI22" s="41">
        <v>7.90083333333334</v>
      </c>
      <c r="AJ22" s="42">
        <f t="shared" si="5"/>
        <v>0.23195436631637634</v>
      </c>
      <c r="AK22" s="29"/>
    </row>
    <row r="23" spans="1:37" ht="14.4" customHeight="1">
      <c r="A23" s="22"/>
      <c r="B23" s="37">
        <v>2012</v>
      </c>
      <c r="C23" s="38">
        <v>8.14</v>
      </c>
      <c r="D23" s="39">
        <v>7.76</v>
      </c>
      <c r="E23" s="39">
        <v>8.0399999999999991</v>
      </c>
      <c r="F23" s="39">
        <v>8.1300000000000008</v>
      </c>
      <c r="G23" s="39">
        <v>8.0500000000000007</v>
      </c>
      <c r="H23" s="39">
        <v>7.98</v>
      </c>
      <c r="I23" s="39">
        <v>7.83</v>
      </c>
      <c r="J23" s="39">
        <v>7.23</v>
      </c>
      <c r="K23" s="39">
        <v>7.22</v>
      </c>
      <c r="L23" s="39">
        <v>7.16</v>
      </c>
      <c r="M23" s="39">
        <v>7</v>
      </c>
      <c r="N23" s="40">
        <v>6.98</v>
      </c>
      <c r="O23" s="41">
        <f t="shared" si="0"/>
        <v>7.6266666666666678</v>
      </c>
      <c r="P23" s="42">
        <f t="shared" si="2"/>
        <v>-3.470098090918694E-2</v>
      </c>
      <c r="Q23" s="41">
        <v>7.62844568819063</v>
      </c>
      <c r="R23" s="42">
        <f t="shared" si="3"/>
        <v>-3.4475812063205602E-2</v>
      </c>
      <c r="S23" s="27"/>
      <c r="T23" s="43">
        <v>2012</v>
      </c>
      <c r="U23" s="38">
        <v>8.14</v>
      </c>
      <c r="V23" s="39">
        <v>7.76</v>
      </c>
      <c r="W23" s="39">
        <v>8.0399999999999991</v>
      </c>
      <c r="X23" s="39">
        <v>8.1300000000000008</v>
      </c>
      <c r="Y23" s="39">
        <v>8.0500000000000007</v>
      </c>
      <c r="Z23" s="39">
        <v>7.98</v>
      </c>
      <c r="AA23" s="39">
        <v>7.83</v>
      </c>
      <c r="AB23" s="39">
        <v>7.23</v>
      </c>
      <c r="AC23" s="39">
        <v>7.22</v>
      </c>
      <c r="AD23" s="39">
        <v>7.16</v>
      </c>
      <c r="AE23" s="39">
        <v>7</v>
      </c>
      <c r="AF23" s="40">
        <v>6.98</v>
      </c>
      <c r="AG23" s="41">
        <f t="shared" si="1"/>
        <v>7.6266666666666678</v>
      </c>
      <c r="AH23" s="42">
        <f t="shared" si="4"/>
        <v>-3.470098090918694E-2</v>
      </c>
      <c r="AI23" s="41">
        <v>7.62844568819063</v>
      </c>
      <c r="AJ23" s="42">
        <f t="shared" si="5"/>
        <v>-3.4475812063205602E-2</v>
      </c>
      <c r="AK23" s="29"/>
    </row>
    <row r="24" spans="1:37" ht="14.4" customHeight="1">
      <c r="A24" s="22"/>
      <c r="B24" s="37">
        <v>2013</v>
      </c>
      <c r="C24" s="38">
        <v>7.28</v>
      </c>
      <c r="D24" s="39">
        <v>7.61</v>
      </c>
      <c r="E24" s="39">
        <v>8.08</v>
      </c>
      <c r="F24" s="39">
        <v>8.44</v>
      </c>
      <c r="G24" s="39">
        <v>8.56</v>
      </c>
      <c r="H24" s="39">
        <v>8.3800000000000008</v>
      </c>
      <c r="I24" s="39">
        <v>8.33</v>
      </c>
      <c r="J24" s="39">
        <v>8.56</v>
      </c>
      <c r="K24" s="39">
        <v>9.02</v>
      </c>
      <c r="L24" s="39">
        <v>9.43</v>
      </c>
      <c r="M24" s="39">
        <v>9.49</v>
      </c>
      <c r="N24" s="40">
        <v>9.32</v>
      </c>
      <c r="O24" s="41">
        <f t="shared" si="0"/>
        <v>8.5416666666666661</v>
      </c>
      <c r="P24" s="42">
        <f t="shared" si="2"/>
        <v>0.11997377622377603</v>
      </c>
      <c r="Q24" s="41">
        <v>8.6626261273719791</v>
      </c>
      <c r="R24" s="42">
        <f t="shared" si="3"/>
        <v>0.1355689587961979</v>
      </c>
      <c r="S24" s="27"/>
      <c r="T24" s="43">
        <v>2013</v>
      </c>
      <c r="U24" s="38">
        <v>7.28</v>
      </c>
      <c r="V24" s="39">
        <v>7.61</v>
      </c>
      <c r="W24" s="39">
        <v>8.08</v>
      </c>
      <c r="X24" s="39">
        <v>8.44</v>
      </c>
      <c r="Y24" s="39">
        <v>8.56</v>
      </c>
      <c r="Z24" s="39">
        <v>8.3800000000000008</v>
      </c>
      <c r="AA24" s="39">
        <v>8.33</v>
      </c>
      <c r="AB24" s="39">
        <v>8.56</v>
      </c>
      <c r="AC24" s="39">
        <v>9.02</v>
      </c>
      <c r="AD24" s="39">
        <v>9.43</v>
      </c>
      <c r="AE24" s="39">
        <v>9.49</v>
      </c>
      <c r="AF24" s="40">
        <v>9.32</v>
      </c>
      <c r="AG24" s="41">
        <f t="shared" si="1"/>
        <v>8.5416666666666661</v>
      </c>
      <c r="AH24" s="42">
        <f t="shared" si="4"/>
        <v>0.11997377622377603</v>
      </c>
      <c r="AI24" s="41">
        <v>8.6626261273719791</v>
      </c>
      <c r="AJ24" s="42">
        <f t="shared" si="5"/>
        <v>0.1355689587961979</v>
      </c>
      <c r="AK24" s="29"/>
    </row>
    <row r="25" spans="1:37" ht="14.4" customHeight="1">
      <c r="A25" s="22"/>
      <c r="B25" s="37">
        <v>2014</v>
      </c>
      <c r="C25" s="38">
        <v>9.76</v>
      </c>
      <c r="D25" s="39">
        <v>10.08</v>
      </c>
      <c r="E25" s="39">
        <v>10.48</v>
      </c>
      <c r="F25" s="39">
        <v>10.56</v>
      </c>
      <c r="G25" s="39">
        <v>10.55</v>
      </c>
      <c r="H25" s="39">
        <v>10.51</v>
      </c>
      <c r="I25" s="39">
        <v>10.18</v>
      </c>
      <c r="J25" s="39">
        <v>9.74</v>
      </c>
      <c r="K25" s="39">
        <v>9.67</v>
      </c>
      <c r="L25" s="39">
        <v>9.2100000000000009</v>
      </c>
      <c r="M25" s="39">
        <v>9.1</v>
      </c>
      <c r="N25" s="40">
        <v>9.07</v>
      </c>
      <c r="O25" s="41">
        <f t="shared" si="0"/>
        <v>9.9091666666666658</v>
      </c>
      <c r="P25" s="42">
        <f t="shared" si="2"/>
        <v>0.16009756097560968</v>
      </c>
      <c r="Q25" s="41">
        <v>9.8467193524448096</v>
      </c>
      <c r="R25" s="42">
        <f t="shared" si="3"/>
        <v>0.13668986836813346</v>
      </c>
      <c r="S25" s="27"/>
      <c r="T25" s="43">
        <v>2014</v>
      </c>
      <c r="U25" s="38">
        <v>9.76</v>
      </c>
      <c r="V25" s="39">
        <v>10.08</v>
      </c>
      <c r="W25" s="39">
        <v>10.48</v>
      </c>
      <c r="X25" s="39">
        <v>10.56</v>
      </c>
      <c r="Y25" s="39">
        <v>10.55</v>
      </c>
      <c r="Z25" s="39">
        <v>10.51</v>
      </c>
      <c r="AA25" s="39">
        <v>10.18</v>
      </c>
      <c r="AB25" s="39">
        <v>9.74</v>
      </c>
      <c r="AC25" s="39">
        <v>9.67</v>
      </c>
      <c r="AD25" s="39">
        <v>9.2100000000000009</v>
      </c>
      <c r="AE25" s="39">
        <v>9.1</v>
      </c>
      <c r="AF25" s="40">
        <v>9.07</v>
      </c>
      <c r="AG25" s="41">
        <f t="shared" si="1"/>
        <v>9.9091666666666658</v>
      </c>
      <c r="AH25" s="42">
        <f t="shared" si="4"/>
        <v>0.16009756097560968</v>
      </c>
      <c r="AI25" s="41">
        <v>9.8467193524448096</v>
      </c>
      <c r="AJ25" s="42">
        <f t="shared" si="5"/>
        <v>0.13668986836813346</v>
      </c>
      <c r="AK25" s="29"/>
    </row>
    <row r="26" spans="1:37" ht="14.4" customHeight="1">
      <c r="A26" s="22"/>
      <c r="B26" s="37">
        <v>2015</v>
      </c>
      <c r="C26" s="38">
        <v>9.0115521928092992</v>
      </c>
      <c r="D26" s="39">
        <v>9.1436216545399809</v>
      </c>
      <c r="E26" s="39">
        <v>9.1280965493978705</v>
      </c>
      <c r="F26" s="39">
        <v>9.0039205355703693</v>
      </c>
      <c r="G26" s="39">
        <v>8.5713806047891996</v>
      </c>
      <c r="H26" s="39">
        <v>7.9003450600535698</v>
      </c>
      <c r="I26" s="39">
        <v>7.6355363897706701</v>
      </c>
      <c r="J26" s="39">
        <v>7.5358267734018796</v>
      </c>
      <c r="K26" s="39">
        <v>7.5674003294411403</v>
      </c>
      <c r="L26" s="39">
        <v>7.5657138589907396</v>
      </c>
      <c r="M26" s="39">
        <v>7.4798361691682196</v>
      </c>
      <c r="N26" s="40">
        <v>7.4986725603813502</v>
      </c>
      <c r="O26" s="41">
        <f t="shared" si="0"/>
        <v>8.1701585565261912</v>
      </c>
      <c r="P26" s="42">
        <f t="shared" si="2"/>
        <v>-0.17549488959453119</v>
      </c>
      <c r="Q26" s="41">
        <v>8.0352379802798097</v>
      </c>
      <c r="R26" s="42">
        <f t="shared" si="3"/>
        <v>-0.18396801079897063</v>
      </c>
      <c r="S26" s="27"/>
      <c r="T26" s="43">
        <v>2015</v>
      </c>
      <c r="U26" s="38">
        <v>9.0115521928092992</v>
      </c>
      <c r="V26" s="39">
        <v>9.1436216545399809</v>
      </c>
      <c r="W26" s="39">
        <v>9.1280965493978705</v>
      </c>
      <c r="X26" s="39">
        <v>9.0039205355703693</v>
      </c>
      <c r="Y26" s="39">
        <v>8.5713806047891996</v>
      </c>
      <c r="Z26" s="39">
        <v>7.9003450600535698</v>
      </c>
      <c r="AA26" s="39">
        <v>7.6355363897706701</v>
      </c>
      <c r="AB26" s="39">
        <v>7.5358267734018796</v>
      </c>
      <c r="AC26" s="39">
        <v>7.5674003294411403</v>
      </c>
      <c r="AD26" s="39">
        <v>7.5657138589907396</v>
      </c>
      <c r="AE26" s="39">
        <v>7.4798361691682196</v>
      </c>
      <c r="AF26" s="40">
        <v>7.4986725603813502</v>
      </c>
      <c r="AG26" s="41">
        <f t="shared" si="1"/>
        <v>8.1701585565261912</v>
      </c>
      <c r="AH26" s="42">
        <f t="shared" si="4"/>
        <v>-0.17549488959453119</v>
      </c>
      <c r="AI26" s="41">
        <v>8.0352379802798097</v>
      </c>
      <c r="AJ26" s="42">
        <f t="shared" si="5"/>
        <v>-0.18396801079897063</v>
      </c>
      <c r="AK26" s="29"/>
    </row>
    <row r="27" spans="1:37" ht="14.4" customHeight="1">
      <c r="A27" s="22"/>
      <c r="B27" s="37">
        <v>2016</v>
      </c>
      <c r="C27" s="38">
        <v>7.33</v>
      </c>
      <c r="D27" s="39">
        <v>7.49</v>
      </c>
      <c r="E27" s="39">
        <v>7.86</v>
      </c>
      <c r="F27" s="39">
        <v>7.97</v>
      </c>
      <c r="G27" s="44">
        <f>8.06+0.66</f>
        <v>8.7200000000000006</v>
      </c>
      <c r="H27" s="44">
        <f>8.03+0.63</f>
        <v>8.66</v>
      </c>
      <c r="I27" s="44">
        <f>8.06+0.73</f>
        <v>8.7900000000000009</v>
      </c>
      <c r="J27" s="44">
        <f>8.04+0.71</f>
        <v>8.75</v>
      </c>
      <c r="K27" s="39">
        <v>8.75</v>
      </c>
      <c r="L27" s="39">
        <v>8.9</v>
      </c>
      <c r="M27" s="39">
        <v>8.89</v>
      </c>
      <c r="N27" s="40">
        <v>9.0299999999999994</v>
      </c>
      <c r="O27" s="41">
        <f t="shared" si="0"/>
        <v>8.4283333333333328</v>
      </c>
      <c r="P27" s="42">
        <f t="shared" si="2"/>
        <v>3.1599726617412616E-2</v>
      </c>
      <c r="Q27" s="41">
        <v>8.5429366604999597</v>
      </c>
      <c r="R27" s="42">
        <f t="shared" si="3"/>
        <v>6.3184025347619022E-2</v>
      </c>
      <c r="S27" s="27"/>
      <c r="T27" s="43">
        <v>2016</v>
      </c>
      <c r="U27" s="38">
        <v>7.33</v>
      </c>
      <c r="V27" s="39">
        <v>7.49</v>
      </c>
      <c r="W27" s="39">
        <v>7.86</v>
      </c>
      <c r="X27" s="39">
        <v>7.97</v>
      </c>
      <c r="Y27" s="39">
        <v>8.7200000000000006</v>
      </c>
      <c r="Z27" s="39">
        <v>8.66</v>
      </c>
      <c r="AA27" s="39">
        <v>8.7899999999999991</v>
      </c>
      <c r="AB27" s="39">
        <v>8.75</v>
      </c>
      <c r="AC27" s="39">
        <v>8.75</v>
      </c>
      <c r="AD27" s="39">
        <v>8.9</v>
      </c>
      <c r="AE27" s="39">
        <v>8.89</v>
      </c>
      <c r="AF27" s="40">
        <v>9.0299999999999994</v>
      </c>
      <c r="AG27" s="41">
        <f t="shared" si="1"/>
        <v>8.4283333333333328</v>
      </c>
      <c r="AH27" s="42">
        <f t="shared" si="4"/>
        <v>3.1599726617412616E-2</v>
      </c>
      <c r="AI27" s="41">
        <v>8.5429366604999597</v>
      </c>
      <c r="AJ27" s="42">
        <f t="shared" si="5"/>
        <v>6.3184025347619022E-2</v>
      </c>
      <c r="AK27" s="29"/>
    </row>
    <row r="28" spans="1:37" ht="14.4" customHeight="1">
      <c r="A28" s="22"/>
      <c r="B28" s="206">
        <v>2017</v>
      </c>
      <c r="C28" s="38">
        <v>9.0299999999999994</v>
      </c>
      <c r="D28" s="39">
        <v>9.5500000000000007</v>
      </c>
      <c r="E28" s="39">
        <v>9.8699999999999992</v>
      </c>
      <c r="F28" s="39">
        <v>10.07</v>
      </c>
      <c r="G28" s="39">
        <v>10.23</v>
      </c>
      <c r="H28" s="39">
        <v>10.130000000000001</v>
      </c>
      <c r="I28" s="39">
        <v>9.91</v>
      </c>
      <c r="J28" s="44">
        <f>9.83+0.133336352712638</f>
        <v>9.9633363527126377</v>
      </c>
      <c r="K28" s="44">
        <f>9.66+0.133148465216737</f>
        <v>9.7931484652167367</v>
      </c>
      <c r="L28" s="44">
        <f>9.61+0.134885288335166</f>
        <v>9.7448852883351655</v>
      </c>
      <c r="M28" s="44">
        <f>9.54+0.135598476306146</f>
        <v>9.6755984763061456</v>
      </c>
      <c r="N28" s="45">
        <f>9.4+0.134592192182136</f>
        <v>9.5345921921821368</v>
      </c>
      <c r="O28" s="41">
        <f t="shared" si="0"/>
        <v>9.7917967312294021</v>
      </c>
      <c r="P28" s="42">
        <f t="shared" si="2"/>
        <v>0.16177141363212222</v>
      </c>
      <c r="Q28" s="41">
        <v>9.7220277117414398</v>
      </c>
      <c r="R28" s="42">
        <f t="shared" si="3"/>
        <v>0.13801940692048587</v>
      </c>
      <c r="S28" s="27"/>
      <c r="T28" s="206">
        <v>2017</v>
      </c>
      <c r="U28" s="38">
        <v>9.0299999999999994</v>
      </c>
      <c r="V28" s="39">
        <v>9.5500000000000007</v>
      </c>
      <c r="W28" s="39">
        <v>9.8699999999999992</v>
      </c>
      <c r="X28" s="39">
        <v>10.07</v>
      </c>
      <c r="Y28" s="39">
        <v>10.23</v>
      </c>
      <c r="Z28" s="39">
        <v>10.130000000000001</v>
      </c>
      <c r="AA28" s="39">
        <v>9.91</v>
      </c>
      <c r="AB28" s="39">
        <v>9.83</v>
      </c>
      <c r="AC28" s="39">
        <v>9.66</v>
      </c>
      <c r="AD28" s="39">
        <v>9.61</v>
      </c>
      <c r="AE28" s="39">
        <v>9.5399999999999991</v>
      </c>
      <c r="AF28" s="40">
        <v>9.4</v>
      </c>
      <c r="AG28" s="41">
        <f t="shared" si="1"/>
        <v>9.7358333333333338</v>
      </c>
      <c r="AH28" s="42">
        <f t="shared" si="4"/>
        <v>0.15513150088985572</v>
      </c>
      <c r="AI28" s="41">
        <v>9.7220277117414398</v>
      </c>
      <c r="AJ28" s="42">
        <f t="shared" si="5"/>
        <v>0.13801940692048587</v>
      </c>
      <c r="AK28" s="29"/>
    </row>
    <row r="29" spans="1:37" ht="14.4" customHeight="1">
      <c r="A29" s="22"/>
      <c r="B29" s="206">
        <v>2018</v>
      </c>
      <c r="C29" s="46">
        <f>9.46+0.139039950468124</f>
        <v>9.599039950468125</v>
      </c>
      <c r="D29" s="44">
        <f>9.64+0.138930836522464</f>
        <v>9.7789308365224645</v>
      </c>
      <c r="E29" s="44">
        <f>10.1+0.138686623469436</f>
        <v>10.238686623469436</v>
      </c>
      <c r="F29" s="44">
        <f>9.98+0.142025191074559</f>
        <v>10.12202519107456</v>
      </c>
      <c r="G29" s="44">
        <f>10.23+0.142350674408318</f>
        <v>10.372350674408318</v>
      </c>
      <c r="H29" s="44">
        <f>10.34+0.141409870916245</f>
        <v>10.481409870916245</v>
      </c>
      <c r="I29" s="44">
        <f>10.22+0.140291286642325</f>
        <v>10.360291286642326</v>
      </c>
      <c r="J29" s="39">
        <v>9.98</v>
      </c>
      <c r="K29" s="39">
        <v>9.83</v>
      </c>
      <c r="L29" s="39">
        <v>9.75</v>
      </c>
      <c r="M29" s="39">
        <v>9.43</v>
      </c>
      <c r="N29" s="40">
        <v>9.4600000000000009</v>
      </c>
      <c r="O29" s="41">
        <f t="shared" si="0"/>
        <v>9.9502278694584572</v>
      </c>
      <c r="P29" s="42">
        <f t="shared" si="2"/>
        <v>1.6179986429228466E-2</v>
      </c>
      <c r="Q29" s="41">
        <v>9.9339523664547205</v>
      </c>
      <c r="R29" s="42">
        <f t="shared" si="3"/>
        <v>2.1798400600868018E-2</v>
      </c>
      <c r="S29" s="27"/>
      <c r="T29" s="206">
        <v>2018</v>
      </c>
      <c r="U29" s="38">
        <v>9.4600000000000009</v>
      </c>
      <c r="V29" s="39">
        <v>9.64</v>
      </c>
      <c r="W29" s="39">
        <v>10.1</v>
      </c>
      <c r="X29" s="39">
        <v>9.98</v>
      </c>
      <c r="Y29" s="39">
        <v>10.23</v>
      </c>
      <c r="Z29" s="39">
        <v>10.34</v>
      </c>
      <c r="AA29" s="39">
        <v>10.220000000000001</v>
      </c>
      <c r="AB29" s="39">
        <v>9.98</v>
      </c>
      <c r="AC29" s="39">
        <v>9.83</v>
      </c>
      <c r="AD29" s="39">
        <v>9.75</v>
      </c>
      <c r="AE29" s="39">
        <v>9.43</v>
      </c>
      <c r="AF29" s="40">
        <v>9.4600000000000009</v>
      </c>
      <c r="AG29" s="41">
        <f t="shared" si="1"/>
        <v>9.8683333333333341</v>
      </c>
      <c r="AH29" s="42">
        <f t="shared" si="4"/>
        <v>1.360951810322697E-2</v>
      </c>
      <c r="AI29" s="41">
        <v>9.8598349747285194</v>
      </c>
      <c r="AJ29" s="42">
        <f t="shared" si="5"/>
        <v>1.4174744926991778E-2</v>
      </c>
      <c r="AK29" s="29"/>
    </row>
    <row r="30" spans="1:37" ht="14.4" customHeight="1">
      <c r="A30" s="22"/>
      <c r="B30" s="206">
        <v>2019</v>
      </c>
      <c r="C30" s="38">
        <v>9.43</v>
      </c>
      <c r="D30" s="44">
        <f>9.59+0.08</f>
        <v>9.67</v>
      </c>
      <c r="E30" s="44">
        <f>10+0.1</f>
        <v>10.1</v>
      </c>
      <c r="F30" s="44">
        <f>10.41+0.12</f>
        <v>10.53</v>
      </c>
      <c r="G30" s="44">
        <f>10.51+0.11</f>
        <v>10.62</v>
      </c>
      <c r="H30" s="44">
        <f>10.79+0.11</f>
        <v>10.899999999999999</v>
      </c>
      <c r="I30" s="44">
        <f>10.68+0.09</f>
        <v>10.77</v>
      </c>
      <c r="J30" s="44">
        <f>10.94+0.126</f>
        <v>11.065999999999999</v>
      </c>
      <c r="K30" s="44">
        <f>11.1+0.128</f>
        <v>11.228</v>
      </c>
      <c r="L30" s="44">
        <f>11.21+0.13</f>
        <v>11.340000000000002</v>
      </c>
      <c r="M30" s="44">
        <f>11.14+0.131</f>
        <v>11.271000000000001</v>
      </c>
      <c r="N30" s="45">
        <f>11.28+0.291+0.131</f>
        <v>11.702</v>
      </c>
      <c r="O30" s="41">
        <f t="shared" si="0"/>
        <v>10.718916666666667</v>
      </c>
      <c r="P30" s="42">
        <f t="shared" si="2"/>
        <v>7.7253386283508974E-2</v>
      </c>
      <c r="Q30" s="41">
        <v>10.7996763898577</v>
      </c>
      <c r="R30" s="42">
        <f t="shared" si="3"/>
        <v>8.7147994218935709E-2</v>
      </c>
      <c r="S30" s="27"/>
      <c r="T30" s="206">
        <v>2019</v>
      </c>
      <c r="U30" s="38">
        <v>9.43</v>
      </c>
      <c r="V30" s="39">
        <v>9.59</v>
      </c>
      <c r="W30" s="39">
        <v>10</v>
      </c>
      <c r="X30" s="39">
        <v>10.41</v>
      </c>
      <c r="Y30" s="39">
        <v>10.51</v>
      </c>
      <c r="Z30" s="39">
        <v>10.79</v>
      </c>
      <c r="AA30" s="39">
        <v>10.68</v>
      </c>
      <c r="AB30" s="39">
        <v>10.94</v>
      </c>
      <c r="AC30" s="39">
        <v>11.1</v>
      </c>
      <c r="AD30" s="39">
        <v>11.21</v>
      </c>
      <c r="AE30" s="39">
        <v>11.14</v>
      </c>
      <c r="AF30" s="40">
        <v>11.28</v>
      </c>
      <c r="AG30" s="41">
        <f t="shared" si="1"/>
        <v>10.59</v>
      </c>
      <c r="AH30" s="42">
        <f t="shared" si="4"/>
        <v>7.3129538929234794E-2</v>
      </c>
      <c r="AI30" s="41">
        <v>10.6680113082251</v>
      </c>
      <c r="AJ30" s="42">
        <f t="shared" si="5"/>
        <v>8.1966517245775083E-2</v>
      </c>
      <c r="AK30" s="29"/>
    </row>
    <row r="31" spans="1:37" ht="14.4" customHeight="1">
      <c r="A31" s="22"/>
      <c r="B31" s="206">
        <v>2020</v>
      </c>
      <c r="C31" s="46">
        <v>12.052</v>
      </c>
      <c r="D31" s="44">
        <v>12.327</v>
      </c>
      <c r="E31" s="44">
        <v>12.226000000000001</v>
      </c>
      <c r="F31" s="44">
        <v>12.436999999999999</v>
      </c>
      <c r="G31" s="44">
        <v>12.648999999999999</v>
      </c>
      <c r="H31" s="39">
        <v>12.28</v>
      </c>
      <c r="I31" s="39">
        <v>12.32</v>
      </c>
      <c r="J31" s="44">
        <v>12.3828176256694</v>
      </c>
      <c r="K31" s="44">
        <v>12.872700531644201</v>
      </c>
      <c r="L31" s="44">
        <v>12.853559696823799</v>
      </c>
      <c r="M31" s="44">
        <v>12.9140825524485</v>
      </c>
      <c r="N31" s="45">
        <v>13.023386609161699</v>
      </c>
      <c r="O31" s="41">
        <f t="shared" si="0"/>
        <v>12.528128917978966</v>
      </c>
      <c r="P31" s="42">
        <f t="shared" si="2"/>
        <v>0.16878685669219995</v>
      </c>
      <c r="Q31" s="41">
        <v>12.560924151964199</v>
      </c>
      <c r="R31" s="42">
        <f t="shared" si="3"/>
        <v>0.16308338310586246</v>
      </c>
      <c r="S31" s="27"/>
      <c r="T31" s="206">
        <v>2020</v>
      </c>
      <c r="U31" s="38">
        <v>11.64</v>
      </c>
      <c r="V31" s="39">
        <v>11.92</v>
      </c>
      <c r="W31" s="39">
        <v>12.1</v>
      </c>
      <c r="X31" s="39">
        <v>12.31</v>
      </c>
      <c r="Y31" s="39">
        <v>12.52</v>
      </c>
      <c r="Z31" s="39">
        <v>12.28</v>
      </c>
      <c r="AA31" s="39">
        <v>12.32</v>
      </c>
      <c r="AB31" s="39">
        <v>12.18</v>
      </c>
      <c r="AC31" s="39">
        <v>12.67</v>
      </c>
      <c r="AD31" s="39">
        <v>12.65</v>
      </c>
      <c r="AE31" s="39">
        <v>12.71</v>
      </c>
      <c r="AF31" s="40">
        <v>12.82</v>
      </c>
      <c r="AG31" s="41">
        <f t="shared" si="1"/>
        <v>12.343333333333334</v>
      </c>
      <c r="AH31" s="42">
        <f t="shared" si="4"/>
        <v>0.16556499842618821</v>
      </c>
      <c r="AI31" s="41">
        <v>12.379108707413399</v>
      </c>
      <c r="AJ31" s="42">
        <f t="shared" si="5"/>
        <v>0.16039516173638035</v>
      </c>
      <c r="AK31" s="29"/>
    </row>
    <row r="32" spans="1:37" ht="14.4" customHeight="1">
      <c r="A32" s="22"/>
      <c r="B32" s="206">
        <v>2021</v>
      </c>
      <c r="C32" s="46">
        <v>13.532956925048801</v>
      </c>
      <c r="D32" s="44">
        <v>13.953121174889301</v>
      </c>
      <c r="E32" s="44">
        <v>14.1637587447144</v>
      </c>
      <c r="F32" s="44">
        <v>15.079548290623601</v>
      </c>
      <c r="G32" s="44">
        <v>15.5715974457143</v>
      </c>
      <c r="H32" s="44">
        <v>15.4861034352991</v>
      </c>
      <c r="I32" s="44">
        <v>15.813504263244001</v>
      </c>
      <c r="J32" s="44">
        <v>15.8364019311202</v>
      </c>
      <c r="K32" s="44">
        <v>15.6560624807876</v>
      </c>
      <c r="L32" s="44">
        <v>15.192514188333</v>
      </c>
      <c r="M32" s="44">
        <v>15.614924580247999</v>
      </c>
      <c r="N32" s="45">
        <v>15.7636654990532</v>
      </c>
      <c r="O32" s="41">
        <f t="shared" si="0"/>
        <v>15.13867991325629</v>
      </c>
      <c r="P32" s="42">
        <f t="shared" si="2"/>
        <v>0.20837517017652596</v>
      </c>
      <c r="Q32" s="41">
        <v>15.214640022568499</v>
      </c>
      <c r="R32" s="42">
        <f t="shared" si="3"/>
        <v>0.21126756586531314</v>
      </c>
      <c r="S32" s="27"/>
      <c r="T32" s="206">
        <v>2021</v>
      </c>
      <c r="U32" s="38">
        <v>13.33</v>
      </c>
      <c r="V32" s="39">
        <v>13.75</v>
      </c>
      <c r="W32" s="39">
        <v>14</v>
      </c>
      <c r="X32" s="39">
        <v>14.91</v>
      </c>
      <c r="Y32" s="39">
        <v>15.36</v>
      </c>
      <c r="Z32" s="39">
        <v>15.31</v>
      </c>
      <c r="AA32" s="39">
        <v>15.34</v>
      </c>
      <c r="AB32" s="39">
        <v>15.36</v>
      </c>
      <c r="AC32" s="39">
        <v>15.18</v>
      </c>
      <c r="AD32" s="39">
        <v>14.94</v>
      </c>
      <c r="AE32" s="39">
        <v>15.39</v>
      </c>
      <c r="AF32" s="40">
        <v>15.540410827174499</v>
      </c>
      <c r="AG32" s="41">
        <f t="shared" si="1"/>
        <v>14.867534235597875</v>
      </c>
      <c r="AH32" s="42">
        <f t="shared" si="4"/>
        <v>0.20449912791773217</v>
      </c>
      <c r="AI32" s="41">
        <v>14.9326684002998</v>
      </c>
      <c r="AJ32" s="42">
        <f t="shared" si="5"/>
        <v>0.20627976967010286</v>
      </c>
      <c r="AK32" s="29"/>
    </row>
    <row r="33" spans="1:37" ht="15" customHeight="1">
      <c r="A33" s="22"/>
      <c r="B33" s="206">
        <v>2022</v>
      </c>
      <c r="C33" s="223">
        <v>15.91</v>
      </c>
      <c r="D33" s="222">
        <v>17.211752500934708</v>
      </c>
      <c r="E33" s="222">
        <v>17.776360207407869</v>
      </c>
      <c r="F33" s="222">
        <v>17.920605837801471</v>
      </c>
      <c r="G33" s="222">
        <v>17.810328417923383</v>
      </c>
      <c r="H33" s="222">
        <v>17.760328417923386</v>
      </c>
      <c r="I33" s="222">
        <v>17.48</v>
      </c>
      <c r="J33" s="222">
        <v>17.25</v>
      </c>
      <c r="K33" s="222">
        <v>17.099980940889377</v>
      </c>
      <c r="L33" s="222">
        <v>16.809999999999999</v>
      </c>
      <c r="M33" s="222">
        <v>16.53</v>
      </c>
      <c r="N33" s="222">
        <v>16.37</v>
      </c>
      <c r="O33" s="41">
        <f t="shared" si="0"/>
        <v>17.16077969357335</v>
      </c>
      <c r="P33" s="42">
        <f t="shared" ref="P33" si="6">O33/O32-1</f>
        <v>0.13357173755595397</v>
      </c>
      <c r="Q33" s="41">
        <v>17.128810924700328</v>
      </c>
      <c r="R33" s="42">
        <f t="shared" si="3"/>
        <v>0.12581112003257799</v>
      </c>
      <c r="S33" s="27"/>
      <c r="T33" s="206">
        <v>2022</v>
      </c>
      <c r="U33" s="223">
        <v>15.91</v>
      </c>
      <c r="V33" s="222">
        <v>17.21</v>
      </c>
      <c r="W33" s="222">
        <v>17.77</v>
      </c>
      <c r="X33" s="222">
        <v>17.920000000000002</v>
      </c>
      <c r="Y33" s="222">
        <v>17.809999999999999</v>
      </c>
      <c r="Z33" s="222">
        <v>17.760000000000002</v>
      </c>
      <c r="AA33" s="222">
        <v>17.48</v>
      </c>
      <c r="AB33" s="222">
        <v>17.25</v>
      </c>
      <c r="AC33" s="222">
        <v>17.100000000000001</v>
      </c>
      <c r="AD33" s="222">
        <v>16.809999999999999</v>
      </c>
      <c r="AE33" s="222">
        <v>16.53</v>
      </c>
      <c r="AF33" s="40">
        <v>16.37</v>
      </c>
      <c r="AG33" s="41">
        <f t="shared" ref="AG33:AG34" si="7">AVERAGE(U33:AF33)</f>
        <v>17.16</v>
      </c>
      <c r="AH33" s="42">
        <f t="shared" ref="AH33:AJ35" si="8">AG33/AG32-1</f>
        <v>0.15419273485936835</v>
      </c>
      <c r="AI33" s="41">
        <v>17.128178136791284</v>
      </c>
      <c r="AJ33" s="42">
        <f t="shared" si="8"/>
        <v>0.14702728793250408</v>
      </c>
      <c r="AK33" s="29"/>
    </row>
    <row r="34" spans="1:37" ht="15" customHeight="1">
      <c r="A34" s="22"/>
      <c r="B34" s="206">
        <v>2023</v>
      </c>
      <c r="C34" s="223">
        <v>16.57</v>
      </c>
      <c r="D34" s="222">
        <v>16.95</v>
      </c>
      <c r="E34" s="222">
        <v>17.200016658349792</v>
      </c>
      <c r="F34" s="222">
        <v>17.630013599253441</v>
      </c>
      <c r="G34" s="222">
        <v>17.61</v>
      </c>
      <c r="H34" s="222">
        <v>17.38</v>
      </c>
      <c r="I34" s="222">
        <v>17.399999999999999</v>
      </c>
      <c r="J34" s="44">
        <v>14.422481272119411</v>
      </c>
      <c r="K34" s="44">
        <v>14.304367760737883</v>
      </c>
      <c r="L34" s="44">
        <v>14.58323079133924</v>
      </c>
      <c r="M34" s="44">
        <v>14.402061302575852</v>
      </c>
      <c r="N34" s="222">
        <v>14.07</v>
      </c>
      <c r="O34" s="41">
        <f t="shared" ref="O34:O35" si="9">AVERAGE(C34:N34)</f>
        <v>16.0435142820313</v>
      </c>
      <c r="P34" s="42">
        <f t="shared" ref="P34:P35" si="10">O34/O33-1</f>
        <v>-6.5105748776698169E-2</v>
      </c>
      <c r="Q34" s="41">
        <v>15.874417176752235</v>
      </c>
      <c r="R34" s="42">
        <f t="shared" ref="R34:R35" si="11">Q34/Q33-1</f>
        <v>-7.3232972998681145E-2</v>
      </c>
      <c r="S34" s="27"/>
      <c r="T34" s="206">
        <v>2023</v>
      </c>
      <c r="U34" s="223">
        <v>16.57</v>
      </c>
      <c r="V34" s="222">
        <v>16.95</v>
      </c>
      <c r="W34" s="222">
        <v>17.2</v>
      </c>
      <c r="X34" s="222">
        <v>17.63</v>
      </c>
      <c r="Y34" s="222">
        <v>17.61</v>
      </c>
      <c r="Z34" s="222">
        <v>17.38</v>
      </c>
      <c r="AA34" s="222">
        <v>17.399999999999999</v>
      </c>
      <c r="AB34" s="222">
        <v>14.28</v>
      </c>
      <c r="AC34" s="222">
        <v>14.16</v>
      </c>
      <c r="AD34" s="222">
        <v>14.44</v>
      </c>
      <c r="AE34" s="222">
        <v>14.26</v>
      </c>
      <c r="AF34" s="222">
        <v>14.07</v>
      </c>
      <c r="AG34" s="41">
        <f t="shared" si="7"/>
        <v>15.99583333333333</v>
      </c>
      <c r="AH34" s="42">
        <f t="shared" si="8"/>
        <v>-6.7841880341880545E-2</v>
      </c>
      <c r="AI34" s="41">
        <v>15.818237090864356</v>
      </c>
      <c r="AJ34" s="42">
        <f t="shared" si="8"/>
        <v>-7.6478714517405622E-2</v>
      </c>
      <c r="AK34" s="29"/>
    </row>
    <row r="35" spans="1:37" s="285" customFormat="1" ht="15" customHeight="1">
      <c r="A35" s="22"/>
      <c r="B35" s="206">
        <v>2024</v>
      </c>
      <c r="C35" s="223">
        <v>14.202466787634474</v>
      </c>
      <c r="D35" s="294">
        <v>15.434719101666696</v>
      </c>
      <c r="E35" s="294">
        <v>16.136467771275814</v>
      </c>
      <c r="F35" s="294">
        <v>16.291173494065244</v>
      </c>
      <c r="G35" s="294">
        <v>16.307808885434902</v>
      </c>
      <c r="H35" s="222">
        <v>15.35</v>
      </c>
      <c r="I35" s="294">
        <v>16.048750103626539</v>
      </c>
      <c r="J35" s="294">
        <v>16.257094942730532</v>
      </c>
      <c r="K35" s="294">
        <v>16.555598977904481</v>
      </c>
      <c r="L35" s="294">
        <v>16.268556828232569</v>
      </c>
      <c r="M35" s="300">
        <v>16.591860867115837</v>
      </c>
      <c r="N35" s="300">
        <v>17.254154066110118</v>
      </c>
      <c r="O35" s="41">
        <f t="shared" si="9"/>
        <v>16.0582209854831</v>
      </c>
      <c r="P35" s="42">
        <f t="shared" si="10"/>
        <v>9.166759347900566E-4</v>
      </c>
      <c r="Q35" s="41">
        <v>16.016693895868457</v>
      </c>
      <c r="R35" s="42">
        <f t="shared" si="11"/>
        <v>8.9626420631419013E-3</v>
      </c>
      <c r="S35" s="27"/>
      <c r="T35" s="206">
        <v>2024</v>
      </c>
      <c r="U35" s="223">
        <v>14.2</v>
      </c>
      <c r="V35" s="222">
        <v>14.99</v>
      </c>
      <c r="W35" s="222">
        <v>15.69</v>
      </c>
      <c r="X35" s="222">
        <v>15.84</v>
      </c>
      <c r="Y35" s="222">
        <v>15.85</v>
      </c>
      <c r="Z35" s="222">
        <v>15.35</v>
      </c>
      <c r="AA35" s="222">
        <v>15.35</v>
      </c>
      <c r="AB35" s="222">
        <v>15.23</v>
      </c>
      <c r="AC35" s="222">
        <v>15.53</v>
      </c>
      <c r="AD35" s="222">
        <v>15.24</v>
      </c>
      <c r="AE35" s="222">
        <v>16.02</v>
      </c>
      <c r="AF35" s="222">
        <v>16.5</v>
      </c>
      <c r="AG35" s="41">
        <f t="shared" ref="AG35" si="12">AVERAGE(U35:AF35)</f>
        <v>15.4825</v>
      </c>
      <c r="AH35" s="42">
        <f t="shared" ref="AH35" si="13">AG35/AG34-1</f>
        <v>-3.209169054441241E-2</v>
      </c>
      <c r="AI35" s="41">
        <v>15.493561842734602</v>
      </c>
      <c r="AJ35" s="42">
        <f t="shared" si="8"/>
        <v>-2.0525375000054025E-2</v>
      </c>
      <c r="AK35" s="29"/>
    </row>
    <row r="36" spans="1:37" s="293" customFormat="1" ht="15" customHeight="1" thickBot="1">
      <c r="A36" s="286"/>
      <c r="B36" s="287">
        <v>2025</v>
      </c>
      <c r="C36" s="299">
        <v>18.134875224364666</v>
      </c>
      <c r="D36" s="299">
        <v>18.055108499168696</v>
      </c>
      <c r="E36" s="299">
        <v>18.381820583265164</v>
      </c>
      <c r="F36" s="299">
        <v>18.21962865654822</v>
      </c>
      <c r="G36" s="299">
        <v>17.910545122656139</v>
      </c>
      <c r="H36" s="259">
        <v>17.823437113366513</v>
      </c>
      <c r="I36" s="295">
        <v>17.492803732989618</v>
      </c>
      <c r="J36" s="295">
        <v>17.255416625059713</v>
      </c>
      <c r="K36" s="295">
        <v>17.321588822285158</v>
      </c>
      <c r="L36" s="259"/>
      <c r="M36" s="259"/>
      <c r="N36" s="259"/>
      <c r="O36" s="288"/>
      <c r="P36" s="289"/>
      <c r="Q36" s="290"/>
      <c r="R36" s="289"/>
      <c r="S36" s="291"/>
      <c r="T36" s="287">
        <v>2025</v>
      </c>
      <c r="U36" s="302">
        <v>16.87</v>
      </c>
      <c r="V36" s="259">
        <v>17.239999999999998</v>
      </c>
      <c r="W36" s="259">
        <v>17.61</v>
      </c>
      <c r="X36" s="259">
        <v>18.010000000000002</v>
      </c>
      <c r="Y36" s="259">
        <v>17.7</v>
      </c>
      <c r="Z36" s="259">
        <v>17.82</v>
      </c>
      <c r="AA36" s="295">
        <v>17.492803732989618</v>
      </c>
      <c r="AB36" s="295">
        <v>17.255416625059713</v>
      </c>
      <c r="AC36" s="295">
        <v>17.321588822285158</v>
      </c>
      <c r="AD36" s="259"/>
      <c r="AE36" s="259"/>
      <c r="AF36" s="259"/>
      <c r="AG36" s="288"/>
      <c r="AH36" s="289"/>
      <c r="AI36" s="288"/>
      <c r="AJ36" s="289"/>
      <c r="AK36" s="292"/>
    </row>
    <row r="37" spans="1:37" ht="14.4" customHeight="1">
      <c r="A37" s="58"/>
      <c r="B37" s="58" t="s">
        <v>20</v>
      </c>
      <c r="C37" s="58"/>
      <c r="D37" s="58"/>
      <c r="E37" s="58"/>
      <c r="F37" s="58"/>
      <c r="G37" s="58"/>
      <c r="H37" s="52"/>
      <c r="I37" s="52"/>
      <c r="J37" s="52"/>
      <c r="K37" s="52"/>
      <c r="L37" s="52"/>
      <c r="M37" s="52"/>
      <c r="N37" s="52"/>
      <c r="O37" s="53"/>
      <c r="P37" s="53"/>
      <c r="Q37" s="53"/>
      <c r="R37" s="52"/>
      <c r="S37" s="58"/>
      <c r="T37" s="58" t="s">
        <v>20</v>
      </c>
      <c r="U37" s="58"/>
      <c r="V37" s="54"/>
      <c r="W37" s="54"/>
      <c r="X37" s="54"/>
      <c r="Y37" s="54"/>
      <c r="Z37" s="54"/>
      <c r="AA37" s="54"/>
      <c r="AB37" s="54"/>
      <c r="AC37" s="54"/>
      <c r="AD37" s="54"/>
      <c r="AE37" s="52"/>
      <c r="AF37" s="52"/>
      <c r="AG37" s="53"/>
      <c r="AH37" s="53"/>
      <c r="AI37" s="53"/>
      <c r="AJ37" s="52"/>
      <c r="AK37" s="9"/>
    </row>
    <row r="38" spans="1:37" ht="14.4" customHeight="1">
      <c r="A38" s="6"/>
      <c r="B38" s="58"/>
      <c r="C38" s="58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56"/>
      <c r="W38" s="57"/>
      <c r="X38" s="56"/>
      <c r="Y38" s="58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15"/>
      <c r="AK38" s="9"/>
    </row>
    <row r="39" spans="1:37" ht="14.4" customHeight="1">
      <c r="A39" s="6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7"/>
      <c r="AI39" s="7"/>
      <c r="AJ39" s="7"/>
      <c r="AK39" s="9"/>
    </row>
    <row r="40" spans="1:37" ht="14.4" customHeight="1">
      <c r="A40" s="6"/>
      <c r="B40" s="60" t="s">
        <v>21</v>
      </c>
      <c r="C40" s="15"/>
      <c r="D40" s="15"/>
      <c r="E40" s="15"/>
      <c r="F40" s="15"/>
      <c r="G40" s="15"/>
      <c r="H40" s="15"/>
      <c r="I40" s="15"/>
      <c r="J40" s="15"/>
      <c r="K40" s="61"/>
      <c r="L40" s="61"/>
      <c r="M40" s="15"/>
      <c r="N40" s="15"/>
      <c r="O40" s="7"/>
      <c r="P40" s="7"/>
      <c r="Q40" s="18"/>
      <c r="R40" s="7"/>
      <c r="S40" s="7"/>
      <c r="T40" s="59"/>
      <c r="U40" s="58"/>
      <c r="V40" s="58"/>
      <c r="W40" s="58"/>
      <c r="X40" s="58"/>
      <c r="Y40" s="58"/>
      <c r="Z40" s="58"/>
      <c r="AA40" s="58"/>
      <c r="AB40" s="15"/>
      <c r="AC40" s="61"/>
      <c r="AD40" s="61"/>
      <c r="AE40" s="15"/>
      <c r="AF40" s="15"/>
      <c r="AG40" s="7"/>
      <c r="AH40" s="7"/>
      <c r="AI40" s="18"/>
      <c r="AJ40" s="7"/>
      <c r="AK40" s="9"/>
    </row>
    <row r="41" spans="1:37" ht="15.75" customHeight="1">
      <c r="A41" s="51"/>
      <c r="B41" s="62"/>
      <c r="C41" s="63" t="s">
        <v>22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9"/>
    </row>
    <row r="42" spans="1:37" ht="15.75" customHeight="1">
      <c r="A42" s="51"/>
      <c r="B42" s="64"/>
      <c r="C42" s="65" t="s">
        <v>23</v>
      </c>
      <c r="D42" s="58"/>
      <c r="E42" s="58"/>
      <c r="F42" s="58"/>
      <c r="G42" s="58"/>
      <c r="H42" s="58"/>
      <c r="I42" s="58"/>
      <c r="J42" s="58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58"/>
      <c r="AG42" s="58"/>
      <c r="AH42" s="67"/>
      <c r="AI42" s="7"/>
      <c r="AJ42" s="58"/>
      <c r="AK42" s="9"/>
    </row>
    <row r="43" spans="1:37" ht="15.75" customHeight="1">
      <c r="A43" s="51"/>
      <c r="B43" s="68"/>
      <c r="C43" s="63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6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69"/>
      <c r="AG43" s="69"/>
      <c r="AH43" s="69"/>
      <c r="AI43" s="69"/>
      <c r="AJ43" s="69"/>
      <c r="AK43" s="9"/>
    </row>
    <row r="44" spans="1:37" ht="36" customHeight="1">
      <c r="A44" s="70"/>
      <c r="B44" s="321"/>
      <c r="C44" s="322"/>
      <c r="D44" s="322"/>
      <c r="E44" s="323"/>
      <c r="F44" s="323"/>
      <c r="G44" s="323"/>
      <c r="H44" s="323"/>
      <c r="I44" s="323"/>
      <c r="J44" s="323"/>
      <c r="K44" s="323"/>
      <c r="L44" s="323"/>
      <c r="M44" s="323"/>
      <c r="N44" s="322"/>
      <c r="O44" s="322"/>
      <c r="P44" s="322"/>
      <c r="Q44" s="322"/>
      <c r="R44" s="322"/>
      <c r="S44" s="7"/>
      <c r="T44" s="8"/>
      <c r="U44" s="7"/>
      <c r="V44" s="7"/>
      <c r="W44" s="13"/>
      <c r="X44" s="13"/>
      <c r="Y44" s="13"/>
      <c r="Z44" s="13"/>
      <c r="AA44" s="13"/>
      <c r="AB44" s="13"/>
      <c r="AC44" s="13"/>
      <c r="AD44" s="13"/>
      <c r="AE44" s="13"/>
      <c r="AF44" s="7"/>
      <c r="AG44" s="7"/>
      <c r="AH44" s="7"/>
      <c r="AI44" s="7"/>
      <c r="AJ44" s="7"/>
      <c r="AK44" s="9"/>
    </row>
    <row r="45" spans="1:37" ht="21" customHeight="1">
      <c r="A45" s="6"/>
      <c r="B45" s="11"/>
      <c r="C45" s="7"/>
      <c r="D45" s="71"/>
      <c r="E45" s="318" t="s">
        <v>97</v>
      </c>
      <c r="F45" s="319"/>
      <c r="G45" s="319"/>
      <c r="H45" s="319"/>
      <c r="I45" s="319"/>
      <c r="J45" s="319"/>
      <c r="K45" s="319"/>
      <c r="L45" s="319"/>
      <c r="M45" s="320"/>
      <c r="N45" s="72"/>
      <c r="O45" s="7"/>
      <c r="P45" s="7"/>
      <c r="Q45" s="7"/>
      <c r="R45" s="7"/>
      <c r="S45" s="7"/>
      <c r="T45" s="73"/>
      <c r="U45" s="7"/>
      <c r="V45" s="71"/>
      <c r="W45" s="315" t="s">
        <v>25</v>
      </c>
      <c r="X45" s="316"/>
      <c r="Y45" s="316"/>
      <c r="Z45" s="316"/>
      <c r="AA45" s="316"/>
      <c r="AB45" s="316"/>
      <c r="AC45" s="316"/>
      <c r="AD45" s="316"/>
      <c r="AE45" s="317"/>
      <c r="AF45" s="72"/>
      <c r="AG45" s="7"/>
      <c r="AH45" s="7"/>
      <c r="AI45" s="7"/>
      <c r="AJ45" s="7"/>
      <c r="AK45" s="9"/>
    </row>
    <row r="46" spans="1:37" ht="15" customHeight="1">
      <c r="A46" s="6"/>
      <c r="B46" s="74"/>
      <c r="C46" s="13"/>
      <c r="D46" s="13"/>
      <c r="E46" s="20"/>
      <c r="F46" s="20"/>
      <c r="G46" s="20"/>
      <c r="H46" s="20"/>
      <c r="I46" s="75"/>
      <c r="J46" s="75"/>
      <c r="K46" s="75"/>
      <c r="L46" s="20"/>
      <c r="M46" s="20"/>
      <c r="N46" s="13"/>
      <c r="O46" s="13"/>
      <c r="P46" s="13"/>
      <c r="Q46" s="13"/>
      <c r="R46" s="13"/>
      <c r="S46" s="7"/>
      <c r="T46" s="21"/>
      <c r="U46" s="13"/>
      <c r="V46" s="13"/>
      <c r="W46" s="20"/>
      <c r="X46" s="20"/>
      <c r="Y46" s="20"/>
      <c r="Z46" s="20"/>
      <c r="AA46" s="75"/>
      <c r="AB46" s="75"/>
      <c r="AC46" s="75"/>
      <c r="AD46" s="20"/>
      <c r="AE46" s="20"/>
      <c r="AF46" s="13"/>
      <c r="AG46" s="13"/>
      <c r="AH46" s="13"/>
      <c r="AI46" s="13"/>
      <c r="AJ46" s="13"/>
      <c r="AK46" s="9"/>
    </row>
    <row r="47" spans="1:37" ht="30" customHeight="1">
      <c r="A47" s="22"/>
      <c r="B47" s="23" t="s">
        <v>4</v>
      </c>
      <c r="C47" s="24" t="s">
        <v>5</v>
      </c>
      <c r="D47" s="25" t="s">
        <v>6</v>
      </c>
      <c r="E47" s="25" t="s">
        <v>7</v>
      </c>
      <c r="F47" s="25" t="s">
        <v>8</v>
      </c>
      <c r="G47" s="25" t="s">
        <v>9</v>
      </c>
      <c r="H47" s="25" t="s">
        <v>10</v>
      </c>
      <c r="I47" s="25" t="s">
        <v>11</v>
      </c>
      <c r="J47" s="25" t="s">
        <v>12</v>
      </c>
      <c r="K47" s="25" t="s">
        <v>13</v>
      </c>
      <c r="L47" s="25" t="s">
        <v>14</v>
      </c>
      <c r="M47" s="25" t="s">
        <v>15</v>
      </c>
      <c r="N47" s="26" t="s">
        <v>16</v>
      </c>
      <c r="O47" s="24" t="s">
        <v>17</v>
      </c>
      <c r="P47" s="26" t="s">
        <v>18</v>
      </c>
      <c r="Q47" s="24" t="s">
        <v>19</v>
      </c>
      <c r="R47" s="26" t="s">
        <v>18</v>
      </c>
      <c r="S47" s="27"/>
      <c r="T47" s="28" t="s">
        <v>4</v>
      </c>
      <c r="U47" s="24" t="s">
        <v>5</v>
      </c>
      <c r="V47" s="25" t="s">
        <v>6</v>
      </c>
      <c r="W47" s="25" t="s">
        <v>7</v>
      </c>
      <c r="X47" s="25" t="s">
        <v>8</v>
      </c>
      <c r="Y47" s="25" t="s">
        <v>9</v>
      </c>
      <c r="Z47" s="25" t="s">
        <v>10</v>
      </c>
      <c r="AA47" s="25" t="s">
        <v>11</v>
      </c>
      <c r="AB47" s="25" t="s">
        <v>12</v>
      </c>
      <c r="AC47" s="25" t="s">
        <v>13</v>
      </c>
      <c r="AD47" s="25" t="s">
        <v>14</v>
      </c>
      <c r="AE47" s="25" t="s">
        <v>15</v>
      </c>
      <c r="AF47" s="26" t="s">
        <v>16</v>
      </c>
      <c r="AG47" s="24" t="s">
        <v>17</v>
      </c>
      <c r="AH47" s="26" t="s">
        <v>18</v>
      </c>
      <c r="AI47" s="24" t="s">
        <v>19</v>
      </c>
      <c r="AJ47" s="26" t="s">
        <v>18</v>
      </c>
      <c r="AK47" s="76"/>
    </row>
    <row r="48" spans="1:37" ht="14.4" customHeight="1">
      <c r="A48" s="22"/>
      <c r="B48" s="30">
        <v>2002</v>
      </c>
      <c r="C48" s="31">
        <v>0.128372445138622</v>
      </c>
      <c r="D48" s="32">
        <v>0.13241341314473401</v>
      </c>
      <c r="E48" s="32">
        <v>0.134449440735286</v>
      </c>
      <c r="F48" s="32">
        <v>0.13386664897682399</v>
      </c>
      <c r="G48" s="32">
        <v>0.12846626333542099</v>
      </c>
      <c r="H48" s="32">
        <v>0.123396074786911</v>
      </c>
      <c r="I48" s="32">
        <v>9.7693227490055295E-2</v>
      </c>
      <c r="J48" s="32">
        <v>9.1655866459007404E-2</v>
      </c>
      <c r="K48" s="32">
        <v>8.3379441322114903E-2</v>
      </c>
      <c r="L48" s="32">
        <v>0.102887441623494</v>
      </c>
      <c r="M48" s="32">
        <v>9.2343199852855801E-2</v>
      </c>
      <c r="N48" s="33">
        <v>9.9787452610928404E-2</v>
      </c>
      <c r="O48" s="34">
        <f t="shared" ref="O48:O67" si="14">AVERAGE(C48:N48)</f>
        <v>0.1123925762896878</v>
      </c>
      <c r="P48" s="35"/>
      <c r="Q48" s="34">
        <v>0.111068876859216</v>
      </c>
      <c r="R48" s="35"/>
      <c r="S48" s="27"/>
      <c r="T48" s="36">
        <v>2002</v>
      </c>
      <c r="U48" s="31">
        <v>0.128372445138622</v>
      </c>
      <c r="V48" s="32">
        <v>0.13241341314473401</v>
      </c>
      <c r="W48" s="32">
        <v>0.134449440735286</v>
      </c>
      <c r="X48" s="32">
        <v>0.13386664897682399</v>
      </c>
      <c r="Y48" s="32">
        <v>0.12846626333542099</v>
      </c>
      <c r="Z48" s="32">
        <v>0.123396074786911</v>
      </c>
      <c r="AA48" s="32">
        <v>9.7693227490055295E-2</v>
      </c>
      <c r="AB48" s="32">
        <v>9.1655866459007404E-2</v>
      </c>
      <c r="AC48" s="32">
        <v>8.3379441322114903E-2</v>
      </c>
      <c r="AD48" s="32">
        <v>0.102887441623494</v>
      </c>
      <c r="AE48" s="32">
        <v>9.2343199852855801E-2</v>
      </c>
      <c r="AF48" s="33">
        <v>9.9787452610928404E-2</v>
      </c>
      <c r="AG48" s="34">
        <f t="shared" ref="AG48:AG69" si="15">AVERAGE(U48:AF48)</f>
        <v>0.1123925762896878</v>
      </c>
      <c r="AH48" s="35"/>
      <c r="AI48" s="34">
        <v>0.111068876859216</v>
      </c>
      <c r="AJ48" s="35"/>
      <c r="AK48" s="77"/>
    </row>
    <row r="49" spans="1:37" ht="14.4" customHeight="1">
      <c r="A49" s="22"/>
      <c r="B49" s="37">
        <v>2003</v>
      </c>
      <c r="C49" s="38">
        <v>9.7765298772042E-2</v>
      </c>
      <c r="D49" s="39">
        <v>0.10278486484121301</v>
      </c>
      <c r="E49" s="39">
        <v>0.118971371519889</v>
      </c>
      <c r="F49" s="39">
        <v>0.12044267304157801</v>
      </c>
      <c r="G49" s="39">
        <v>0.11951940768321601</v>
      </c>
      <c r="H49" s="39">
        <v>0.14556341567739001</v>
      </c>
      <c r="I49" s="39">
        <v>0.142466768520356</v>
      </c>
      <c r="J49" s="39">
        <v>0.13770810978575401</v>
      </c>
      <c r="K49" s="39">
        <v>0.13695774030424099</v>
      </c>
      <c r="L49" s="39">
        <v>0.133737641305326</v>
      </c>
      <c r="M49" s="39">
        <v>0.12969255453938799</v>
      </c>
      <c r="N49" s="40">
        <v>0.12726941438463199</v>
      </c>
      <c r="O49" s="41">
        <f t="shared" si="14"/>
        <v>0.12607327169791874</v>
      </c>
      <c r="P49" s="42">
        <f t="shared" ref="P49:P67" si="16">O49/O48-1</f>
        <v>0.121722411389249</v>
      </c>
      <c r="Q49" s="41">
        <v>0.12691891171451999</v>
      </c>
      <c r="R49" s="42">
        <f t="shared" ref="R49:R67" si="17">Q49/Q48-1</f>
        <v>0.14270455687955241</v>
      </c>
      <c r="S49" s="27"/>
      <c r="T49" s="43">
        <v>2003</v>
      </c>
      <c r="U49" s="38">
        <v>9.7765298772042E-2</v>
      </c>
      <c r="V49" s="39">
        <v>0.10278486484121301</v>
      </c>
      <c r="W49" s="39">
        <v>0.118971371519889</v>
      </c>
      <c r="X49" s="39">
        <v>0.12044267304157801</v>
      </c>
      <c r="Y49" s="39">
        <v>0.11951940768321601</v>
      </c>
      <c r="Z49" s="39">
        <v>0.14556341567739001</v>
      </c>
      <c r="AA49" s="39">
        <v>0.142466768520356</v>
      </c>
      <c r="AB49" s="39">
        <v>0.13770810978575401</v>
      </c>
      <c r="AC49" s="39">
        <v>0.13695774030424099</v>
      </c>
      <c r="AD49" s="39">
        <v>0.133737641305326</v>
      </c>
      <c r="AE49" s="39">
        <v>0.12969255453938799</v>
      </c>
      <c r="AF49" s="40">
        <v>0.12726941438463199</v>
      </c>
      <c r="AG49" s="41">
        <f t="shared" si="15"/>
        <v>0.12607327169791874</v>
      </c>
      <c r="AH49" s="42">
        <f t="shared" ref="AH49:AJ70" si="18">AG49/AG48-1</f>
        <v>0.121722411389249</v>
      </c>
      <c r="AI49" s="41">
        <v>0.12691891171451999</v>
      </c>
      <c r="AJ49" s="42">
        <f t="shared" ref="AJ49:AJ67" si="19">AI49/AI48-1</f>
        <v>0.14270455687955241</v>
      </c>
      <c r="AK49" s="29"/>
    </row>
    <row r="50" spans="1:37" ht="14.4" customHeight="1">
      <c r="A50" s="22"/>
      <c r="B50" s="37">
        <v>2004</v>
      </c>
      <c r="C50" s="38">
        <v>0.12953558976660101</v>
      </c>
      <c r="D50" s="39">
        <v>0.13193846100405601</v>
      </c>
      <c r="E50" s="39">
        <v>0.13929011735088301</v>
      </c>
      <c r="F50" s="39">
        <v>0.14172130909647501</v>
      </c>
      <c r="G50" s="39">
        <v>0.147526456017535</v>
      </c>
      <c r="H50" s="39">
        <v>0.14589342545501399</v>
      </c>
      <c r="I50" s="39">
        <v>0.14564443939719399</v>
      </c>
      <c r="J50" s="39">
        <v>0.14676342204048101</v>
      </c>
      <c r="K50" s="39">
        <v>0.15385852493726501</v>
      </c>
      <c r="L50" s="39">
        <v>0.157043692071478</v>
      </c>
      <c r="M50" s="39">
        <v>0.15563110920526199</v>
      </c>
      <c r="N50" s="40">
        <v>0.15406206254107899</v>
      </c>
      <c r="O50" s="41">
        <f t="shared" si="14"/>
        <v>0.14574238407361026</v>
      </c>
      <c r="P50" s="42">
        <f t="shared" si="16"/>
        <v>0.15601334137516654</v>
      </c>
      <c r="Q50" s="41">
        <v>0.14691818383174399</v>
      </c>
      <c r="R50" s="42">
        <f t="shared" si="17"/>
        <v>0.15757519385454999</v>
      </c>
      <c r="S50" s="27"/>
      <c r="T50" s="43">
        <v>2004</v>
      </c>
      <c r="U50" s="38">
        <v>0.12953558976660101</v>
      </c>
      <c r="V50" s="39">
        <v>0.13193846100405601</v>
      </c>
      <c r="W50" s="39">
        <v>0.13929011735088301</v>
      </c>
      <c r="X50" s="39">
        <v>0.14172130909647501</v>
      </c>
      <c r="Y50" s="39">
        <v>0.147526456017535</v>
      </c>
      <c r="Z50" s="39">
        <v>0.14589342545501399</v>
      </c>
      <c r="AA50" s="39">
        <v>0.14564443939719399</v>
      </c>
      <c r="AB50" s="39">
        <v>0.14676342204048101</v>
      </c>
      <c r="AC50" s="39">
        <v>0.15385852493726501</v>
      </c>
      <c r="AD50" s="39">
        <v>0.157043692071478</v>
      </c>
      <c r="AE50" s="39">
        <v>0.15563110920526199</v>
      </c>
      <c r="AF50" s="40">
        <v>0.15406206254107899</v>
      </c>
      <c r="AG50" s="41">
        <f t="shared" si="15"/>
        <v>0.14574238407361026</v>
      </c>
      <c r="AH50" s="42">
        <f t="shared" si="18"/>
        <v>0.15601334137516654</v>
      </c>
      <c r="AI50" s="41">
        <v>0.14691818383174399</v>
      </c>
      <c r="AJ50" s="42">
        <f t="shared" si="19"/>
        <v>0.15757519385454999</v>
      </c>
      <c r="AK50" s="29"/>
    </row>
    <row r="51" spans="1:37" ht="14.4" customHeight="1">
      <c r="A51" s="22"/>
      <c r="B51" s="37">
        <v>2005</v>
      </c>
      <c r="C51" s="38">
        <v>0.16157886664731599</v>
      </c>
      <c r="D51" s="39">
        <v>0.166280818915548</v>
      </c>
      <c r="E51" s="39">
        <v>0.16690059246344599</v>
      </c>
      <c r="F51" s="39">
        <v>0.174455635554984</v>
      </c>
      <c r="G51" s="39">
        <v>0.17762111465536201</v>
      </c>
      <c r="H51" s="39">
        <v>0.17870282166228901</v>
      </c>
      <c r="I51" s="39">
        <v>0.17446722316410199</v>
      </c>
      <c r="J51" s="39">
        <v>0.169146113096004</v>
      </c>
      <c r="K51" s="39">
        <v>0.17529915121129999</v>
      </c>
      <c r="L51" s="39">
        <v>0.17651084225261501</v>
      </c>
      <c r="M51" s="39">
        <v>0.177132176591586</v>
      </c>
      <c r="N51" s="40">
        <v>0.17543486228190999</v>
      </c>
      <c r="O51" s="41">
        <f t="shared" si="14"/>
        <v>0.17279418487470519</v>
      </c>
      <c r="P51" s="42">
        <f t="shared" si="16"/>
        <v>0.18561382107919844</v>
      </c>
      <c r="Q51" s="41">
        <v>0.17319959752118</v>
      </c>
      <c r="R51" s="42">
        <f t="shared" si="17"/>
        <v>0.17888468945092884</v>
      </c>
      <c r="S51" s="27"/>
      <c r="T51" s="43">
        <v>2005</v>
      </c>
      <c r="U51" s="38">
        <v>0.16157886664731599</v>
      </c>
      <c r="V51" s="39">
        <v>0.166280818915548</v>
      </c>
      <c r="W51" s="39">
        <v>0.16690059246344599</v>
      </c>
      <c r="X51" s="39">
        <v>0.174455635554984</v>
      </c>
      <c r="Y51" s="39">
        <v>0.17762111465536201</v>
      </c>
      <c r="Z51" s="39">
        <v>0.17870282166228901</v>
      </c>
      <c r="AA51" s="39">
        <v>0.17446722316410199</v>
      </c>
      <c r="AB51" s="39">
        <v>0.169146113096004</v>
      </c>
      <c r="AC51" s="39">
        <v>0.17529915121129999</v>
      </c>
      <c r="AD51" s="39">
        <v>0.17651084225261501</v>
      </c>
      <c r="AE51" s="39">
        <v>0.177132176591586</v>
      </c>
      <c r="AF51" s="40">
        <v>0.17543486228190999</v>
      </c>
      <c r="AG51" s="41">
        <f t="shared" si="15"/>
        <v>0.17279418487470519</v>
      </c>
      <c r="AH51" s="42">
        <f t="shared" si="18"/>
        <v>0.18561382107919844</v>
      </c>
      <c r="AI51" s="41">
        <v>0.17319959752118</v>
      </c>
      <c r="AJ51" s="42">
        <f t="shared" si="19"/>
        <v>0.17888468945092884</v>
      </c>
      <c r="AK51" s="29"/>
    </row>
    <row r="52" spans="1:37" ht="14.4" customHeight="1">
      <c r="A52" s="22"/>
      <c r="B52" s="37">
        <v>2006</v>
      </c>
      <c r="C52" s="38">
        <v>0.16471423442960301</v>
      </c>
      <c r="D52" s="39">
        <v>0.16819890076971</v>
      </c>
      <c r="E52" s="39">
        <v>0.18203849058941299</v>
      </c>
      <c r="F52" s="39">
        <v>0.18614346683187699</v>
      </c>
      <c r="G52" s="39">
        <v>0.18639537302011799</v>
      </c>
      <c r="H52" s="39">
        <v>0.18513831474674999</v>
      </c>
      <c r="I52" s="39">
        <v>0.18173798709303399</v>
      </c>
      <c r="J52" s="39">
        <v>0.173712918727599</v>
      </c>
      <c r="K52" s="39">
        <v>0.161648942094026</v>
      </c>
      <c r="L52" s="39">
        <v>0.16026812199033499</v>
      </c>
      <c r="M52" s="39">
        <v>0.15668478292565499</v>
      </c>
      <c r="N52" s="40">
        <v>0.15221883404297701</v>
      </c>
      <c r="O52" s="41">
        <f t="shared" si="14"/>
        <v>0.17157503060509141</v>
      </c>
      <c r="P52" s="42">
        <f t="shared" si="16"/>
        <v>-7.0555283471940289E-3</v>
      </c>
      <c r="Q52" s="41">
        <v>0.17005578456324</v>
      </c>
      <c r="R52" s="42">
        <f t="shared" si="17"/>
        <v>-1.8151387202591795E-2</v>
      </c>
      <c r="S52" s="27"/>
      <c r="T52" s="43">
        <v>2006</v>
      </c>
      <c r="U52" s="38">
        <v>0.16471423442960301</v>
      </c>
      <c r="V52" s="39">
        <v>0.16819890076971</v>
      </c>
      <c r="W52" s="39">
        <v>0.18203849058941299</v>
      </c>
      <c r="X52" s="39">
        <v>0.18614346683187699</v>
      </c>
      <c r="Y52" s="39">
        <v>0.18639537302011799</v>
      </c>
      <c r="Z52" s="39">
        <v>0.18513831474674999</v>
      </c>
      <c r="AA52" s="39">
        <v>0.18173798709303399</v>
      </c>
      <c r="AB52" s="39">
        <v>0.173712918727599</v>
      </c>
      <c r="AC52" s="39">
        <v>0.161648942094026</v>
      </c>
      <c r="AD52" s="39">
        <v>0.16026812199033499</v>
      </c>
      <c r="AE52" s="39">
        <v>0.15668478292565499</v>
      </c>
      <c r="AF52" s="40">
        <v>0.15221883404297701</v>
      </c>
      <c r="AG52" s="41">
        <f t="shared" si="15"/>
        <v>0.17157503060509141</v>
      </c>
      <c r="AH52" s="42">
        <f t="shared" si="18"/>
        <v>-7.0555283471940289E-3</v>
      </c>
      <c r="AI52" s="41">
        <v>0.17005578456324</v>
      </c>
      <c r="AJ52" s="42">
        <f t="shared" si="19"/>
        <v>-1.8151387202591795E-2</v>
      </c>
      <c r="AK52" s="29"/>
    </row>
    <row r="53" spans="1:37" ht="14.4" customHeight="1">
      <c r="A53" s="22"/>
      <c r="B53" s="37">
        <v>2007</v>
      </c>
      <c r="C53" s="38">
        <v>0.172722317327236</v>
      </c>
      <c r="D53" s="39">
        <v>0.17818643480641799</v>
      </c>
      <c r="E53" s="39">
        <v>0.202049317478497</v>
      </c>
      <c r="F53" s="39">
        <v>0.21558603522483299</v>
      </c>
      <c r="G53" s="39">
        <v>0.245948918953557</v>
      </c>
      <c r="H53" s="39">
        <v>0.24483081494693801</v>
      </c>
      <c r="I53" s="39">
        <v>0.242094871271643</v>
      </c>
      <c r="J53" s="39">
        <v>0.27600000000000002</v>
      </c>
      <c r="K53" s="39">
        <v>0.311506024096386</v>
      </c>
      <c r="L53" s="39">
        <v>0.33079999999999998</v>
      </c>
      <c r="M53" s="39">
        <v>0.33100000000000002</v>
      </c>
      <c r="N53" s="40">
        <v>0.34739999999999999</v>
      </c>
      <c r="O53" s="41">
        <f t="shared" si="14"/>
        <v>0.25817706117545897</v>
      </c>
      <c r="P53" s="42">
        <f t="shared" si="16"/>
        <v>0.50474728324365903</v>
      </c>
      <c r="Q53" s="41">
        <v>0.26607669681185703</v>
      </c>
      <c r="R53" s="42">
        <f t="shared" si="17"/>
        <v>0.56464361089057191</v>
      </c>
      <c r="S53" s="27"/>
      <c r="T53" s="43">
        <v>2007</v>
      </c>
      <c r="U53" s="38">
        <v>0.172722317327236</v>
      </c>
      <c r="V53" s="39">
        <v>0.17818643480641799</v>
      </c>
      <c r="W53" s="39">
        <v>0.202049317478497</v>
      </c>
      <c r="X53" s="39">
        <v>0.21558603522483299</v>
      </c>
      <c r="Y53" s="39">
        <v>0.245948918953557</v>
      </c>
      <c r="Z53" s="39">
        <v>0.24483081494693801</v>
      </c>
      <c r="AA53" s="39">
        <v>0.242094871271643</v>
      </c>
      <c r="AB53" s="39">
        <v>0.27600000000000002</v>
      </c>
      <c r="AC53" s="39">
        <v>0.311506024096386</v>
      </c>
      <c r="AD53" s="39">
        <v>0.33079999999999998</v>
      </c>
      <c r="AE53" s="39">
        <v>0.33100000000000002</v>
      </c>
      <c r="AF53" s="40">
        <v>0.34739999999999999</v>
      </c>
      <c r="AG53" s="41">
        <f t="shared" si="15"/>
        <v>0.25817706117545897</v>
      </c>
      <c r="AH53" s="42">
        <f t="shared" si="18"/>
        <v>0.50474728324365903</v>
      </c>
      <c r="AI53" s="41">
        <v>0.26607669681185703</v>
      </c>
      <c r="AJ53" s="42">
        <f t="shared" si="19"/>
        <v>0.56464361089057191</v>
      </c>
      <c r="AK53" s="29"/>
    </row>
    <row r="54" spans="1:37" ht="14.4" customHeight="1">
      <c r="A54" s="22"/>
      <c r="B54" s="37">
        <v>2008</v>
      </c>
      <c r="C54" s="38">
        <v>0.37669999999999998</v>
      </c>
      <c r="D54" s="39">
        <v>0.38919999999999999</v>
      </c>
      <c r="E54" s="39">
        <v>0.40282954698355</v>
      </c>
      <c r="F54" s="39">
        <v>0.427933577484573</v>
      </c>
      <c r="G54" s="39">
        <v>0.42719130522290399</v>
      </c>
      <c r="H54" s="39">
        <v>0.436031599466502</v>
      </c>
      <c r="I54" s="39">
        <v>0.41554124246831498</v>
      </c>
      <c r="J54" s="39">
        <v>0.37324089603324101</v>
      </c>
      <c r="K54" s="39">
        <v>0.307481394437916</v>
      </c>
      <c r="L54" s="39">
        <v>0.242009735664929</v>
      </c>
      <c r="M54" s="39">
        <v>0.208303886382186</v>
      </c>
      <c r="N54" s="40">
        <v>0.19545846507617101</v>
      </c>
      <c r="O54" s="41">
        <f t="shared" si="14"/>
        <v>0.35016013743502383</v>
      </c>
      <c r="P54" s="42">
        <f t="shared" si="16"/>
        <v>0.35627904292028689</v>
      </c>
      <c r="Q54" s="41">
        <v>0.33952464426128998</v>
      </c>
      <c r="R54" s="42">
        <f t="shared" si="17"/>
        <v>0.27604051136191021</v>
      </c>
      <c r="S54" s="27"/>
      <c r="T54" s="43">
        <v>2008</v>
      </c>
      <c r="U54" s="38">
        <v>0.37669999999999998</v>
      </c>
      <c r="V54" s="39">
        <v>0.38919999999999999</v>
      </c>
      <c r="W54" s="39">
        <v>0.40282954698355</v>
      </c>
      <c r="X54" s="39">
        <v>0.427933577484573</v>
      </c>
      <c r="Y54" s="39">
        <v>0.42719130522290399</v>
      </c>
      <c r="Z54" s="39">
        <v>0.436031599466502</v>
      </c>
      <c r="AA54" s="39">
        <v>0.41554124246831498</v>
      </c>
      <c r="AB54" s="39">
        <v>0.37324089603324101</v>
      </c>
      <c r="AC54" s="39">
        <v>0.307481394437916</v>
      </c>
      <c r="AD54" s="39">
        <v>0.242009735664929</v>
      </c>
      <c r="AE54" s="39">
        <v>0.208303886382186</v>
      </c>
      <c r="AF54" s="40">
        <v>0.19545846507617101</v>
      </c>
      <c r="AG54" s="41">
        <f t="shared" si="15"/>
        <v>0.35016013743502383</v>
      </c>
      <c r="AH54" s="42">
        <f t="shared" si="18"/>
        <v>0.35627904292028689</v>
      </c>
      <c r="AI54" s="41">
        <v>0.33952464426128998</v>
      </c>
      <c r="AJ54" s="42">
        <f t="shared" si="19"/>
        <v>0.27604051136191021</v>
      </c>
      <c r="AK54" s="29"/>
    </row>
    <row r="55" spans="1:37" ht="14.4" customHeight="1">
      <c r="A55" s="22"/>
      <c r="B55" s="37">
        <v>2009</v>
      </c>
      <c r="C55" s="38">
        <v>0.19793902962644899</v>
      </c>
      <c r="D55" s="39">
        <v>0.204301075268817</v>
      </c>
      <c r="E55" s="39">
        <v>0.201834862385321</v>
      </c>
      <c r="F55" s="39">
        <v>0.20262117744955299</v>
      </c>
      <c r="G55" s="39">
        <v>0.21668474053418099</v>
      </c>
      <c r="H55" s="39">
        <v>0.22358260657108101</v>
      </c>
      <c r="I55" s="39">
        <v>0.22236047315451199</v>
      </c>
      <c r="J55" s="39">
        <v>0.216611237528444</v>
      </c>
      <c r="K55" s="39">
        <v>0.22969647251845801</v>
      </c>
      <c r="L55" s="39">
        <v>0.24354058847344601</v>
      </c>
      <c r="M55" s="39">
        <v>0.28542104491471598</v>
      </c>
      <c r="N55" s="40">
        <v>0.28016038166776602</v>
      </c>
      <c r="O55" s="41">
        <f t="shared" si="14"/>
        <v>0.22706280750772864</v>
      </c>
      <c r="P55" s="42">
        <f t="shared" si="16"/>
        <v>-0.35154581223608672</v>
      </c>
      <c r="Q55" s="41">
        <v>0.230222803200861</v>
      </c>
      <c r="R55" s="42">
        <f t="shared" si="17"/>
        <v>-0.32192608963110469</v>
      </c>
      <c r="S55" s="27"/>
      <c r="T55" s="43">
        <v>2009</v>
      </c>
      <c r="U55" s="38">
        <v>0.19793902962644899</v>
      </c>
      <c r="V55" s="39">
        <v>0.204301075268817</v>
      </c>
      <c r="W55" s="39">
        <v>0.201834862385321</v>
      </c>
      <c r="X55" s="39">
        <v>0.20262117744955299</v>
      </c>
      <c r="Y55" s="39">
        <v>0.21668474053418099</v>
      </c>
      <c r="Z55" s="39">
        <v>0.22358260657108101</v>
      </c>
      <c r="AA55" s="39">
        <v>0.22236047315451199</v>
      </c>
      <c r="AB55" s="39">
        <v>0.216611237528444</v>
      </c>
      <c r="AC55" s="39">
        <v>0.22969647251845801</v>
      </c>
      <c r="AD55" s="39">
        <v>0.24354058847344601</v>
      </c>
      <c r="AE55" s="39">
        <v>0.28542104491471598</v>
      </c>
      <c r="AF55" s="40">
        <v>0.28016038166776602</v>
      </c>
      <c r="AG55" s="41">
        <f t="shared" si="15"/>
        <v>0.22706280750772864</v>
      </c>
      <c r="AH55" s="42">
        <f t="shared" si="18"/>
        <v>-0.35154581223608672</v>
      </c>
      <c r="AI55" s="41">
        <v>0.230222803200861</v>
      </c>
      <c r="AJ55" s="42">
        <f t="shared" si="19"/>
        <v>-0.32192608963110469</v>
      </c>
      <c r="AK55" s="29"/>
    </row>
    <row r="56" spans="1:37" ht="14.4" customHeight="1">
      <c r="A56" s="22"/>
      <c r="B56" s="37">
        <v>2010</v>
      </c>
      <c r="C56" s="38">
        <v>0.28384066471591701</v>
      </c>
      <c r="D56" s="39">
        <v>0.30203379540625303</v>
      </c>
      <c r="E56" s="39">
        <v>0.321791014330154</v>
      </c>
      <c r="F56" s="39">
        <v>0.33746770025839801</v>
      </c>
      <c r="G56" s="39">
        <v>0.34004776243380702</v>
      </c>
      <c r="H56" s="39">
        <v>0.31825959423123901</v>
      </c>
      <c r="I56" s="39">
        <v>0.30864782856059197</v>
      </c>
      <c r="J56" s="39">
        <v>0.31688959202262801</v>
      </c>
      <c r="K56" s="39">
        <v>0.31663424124513601</v>
      </c>
      <c r="L56" s="39">
        <v>0.325500865693792</v>
      </c>
      <c r="M56" s="39">
        <v>0.32560236437409201</v>
      </c>
      <c r="N56" s="40">
        <v>0.34142678347934902</v>
      </c>
      <c r="O56" s="41">
        <f t="shared" si="14"/>
        <v>0.31984518389594646</v>
      </c>
      <c r="P56" s="42">
        <f t="shared" si="16"/>
        <v>0.40861987661744092</v>
      </c>
      <c r="Q56" s="41">
        <v>0.32018425988215998</v>
      </c>
      <c r="R56" s="42">
        <f t="shared" si="17"/>
        <v>0.3907582369362903</v>
      </c>
      <c r="S56" s="27"/>
      <c r="T56" s="43">
        <v>2010</v>
      </c>
      <c r="U56" s="38">
        <v>0.28384066471591701</v>
      </c>
      <c r="V56" s="39">
        <v>0.30203379540625303</v>
      </c>
      <c r="W56" s="39">
        <v>0.321791014330154</v>
      </c>
      <c r="X56" s="39">
        <v>0.33746770025839801</v>
      </c>
      <c r="Y56" s="39">
        <v>0.34004776243380702</v>
      </c>
      <c r="Z56" s="39">
        <v>0.31825959423123901</v>
      </c>
      <c r="AA56" s="39">
        <v>0.30864782856059197</v>
      </c>
      <c r="AB56" s="39">
        <v>0.31688959202262801</v>
      </c>
      <c r="AC56" s="39">
        <v>0.31663424124513601</v>
      </c>
      <c r="AD56" s="39">
        <v>0.325500865693792</v>
      </c>
      <c r="AE56" s="39">
        <v>0.32560236437409201</v>
      </c>
      <c r="AF56" s="40">
        <v>0.34142678347934902</v>
      </c>
      <c r="AG56" s="41">
        <f t="shared" si="15"/>
        <v>0.31984518389594646</v>
      </c>
      <c r="AH56" s="42">
        <f t="shared" si="18"/>
        <v>0.40861987661744092</v>
      </c>
      <c r="AI56" s="41">
        <v>0.32018425988215998</v>
      </c>
      <c r="AJ56" s="42">
        <f t="shared" si="19"/>
        <v>0.3907582369362903</v>
      </c>
      <c r="AK56" s="29"/>
    </row>
    <row r="57" spans="1:37" ht="14.4" customHeight="1">
      <c r="A57" s="22"/>
      <c r="B57" s="37">
        <v>2011</v>
      </c>
      <c r="C57" s="38">
        <v>0.36149431074413502</v>
      </c>
      <c r="D57" s="39">
        <v>0.39113562091503301</v>
      </c>
      <c r="E57" s="39">
        <v>0.424123306092893</v>
      </c>
      <c r="F57" s="39">
        <v>0.43732238711714599</v>
      </c>
      <c r="G57" s="39">
        <v>0.44449159284994399</v>
      </c>
      <c r="H57" s="39">
        <v>0.45008094981111701</v>
      </c>
      <c r="I57" s="39">
        <v>0.44698488378392998</v>
      </c>
      <c r="J57" s="39">
        <v>0.42368364954167598</v>
      </c>
      <c r="K57" s="39">
        <v>0.39901905686404698</v>
      </c>
      <c r="L57" s="39">
        <v>0.385348720521826</v>
      </c>
      <c r="M57" s="39">
        <v>0.37736797145872097</v>
      </c>
      <c r="N57" s="40">
        <v>0.37756634952428603</v>
      </c>
      <c r="O57" s="41">
        <f t="shared" si="14"/>
        <v>0.40988489993539617</v>
      </c>
      <c r="P57" s="42">
        <f t="shared" si="16"/>
        <v>0.28151030740153926</v>
      </c>
      <c r="Q57" s="41">
        <v>0.40811971389561402</v>
      </c>
      <c r="R57" s="42">
        <f t="shared" si="17"/>
        <v>0.27464015266027642</v>
      </c>
      <c r="S57" s="27"/>
      <c r="T57" s="43">
        <v>2011</v>
      </c>
      <c r="U57" s="38">
        <v>0.36149431074413502</v>
      </c>
      <c r="V57" s="39">
        <v>0.39113562091503301</v>
      </c>
      <c r="W57" s="39">
        <v>0.424123306092893</v>
      </c>
      <c r="X57" s="39">
        <v>0.43732238711714599</v>
      </c>
      <c r="Y57" s="39">
        <v>0.44449159284994399</v>
      </c>
      <c r="Z57" s="39">
        <v>0.45008094981111701</v>
      </c>
      <c r="AA57" s="39">
        <v>0.44698488378392998</v>
      </c>
      <c r="AB57" s="39">
        <v>0.42368364954167598</v>
      </c>
      <c r="AC57" s="39">
        <v>0.39901905686404698</v>
      </c>
      <c r="AD57" s="39">
        <v>0.385348720521826</v>
      </c>
      <c r="AE57" s="39">
        <v>0.37736797145872097</v>
      </c>
      <c r="AF57" s="40">
        <v>0.37756634952428603</v>
      </c>
      <c r="AG57" s="41">
        <f t="shared" si="15"/>
        <v>0.40988489993539617</v>
      </c>
      <c r="AH57" s="42">
        <f t="shared" si="18"/>
        <v>0.28151030740153926</v>
      </c>
      <c r="AI57" s="41">
        <v>0.40811971389561402</v>
      </c>
      <c r="AJ57" s="42">
        <f t="shared" si="19"/>
        <v>0.27464015266027642</v>
      </c>
      <c r="AK57" s="29"/>
    </row>
    <row r="58" spans="1:37" ht="14.4" customHeight="1">
      <c r="A58" s="22"/>
      <c r="B58" s="37">
        <v>2012</v>
      </c>
      <c r="C58" s="38">
        <v>0.41477707006369402</v>
      </c>
      <c r="D58" s="39">
        <v>0.39925910681210097</v>
      </c>
      <c r="E58" s="39">
        <v>0.41171650962720202</v>
      </c>
      <c r="F58" s="39">
        <v>0.41308876581474502</v>
      </c>
      <c r="G58" s="39">
        <v>0.39796321929998002</v>
      </c>
      <c r="H58" s="39">
        <v>0.367945407598672</v>
      </c>
      <c r="I58" s="39">
        <v>0.35924022756469098</v>
      </c>
      <c r="J58" s="39">
        <v>0.339277334584702</v>
      </c>
      <c r="K58" s="39">
        <v>0.34027712319728498</v>
      </c>
      <c r="L58" s="39">
        <v>0.35561736366345498</v>
      </c>
      <c r="M58" s="39">
        <v>0.35401810549739499</v>
      </c>
      <c r="N58" s="40">
        <v>0.36158309158723601</v>
      </c>
      <c r="O58" s="41">
        <f t="shared" si="14"/>
        <v>0.37623027710926316</v>
      </c>
      <c r="P58" s="42">
        <f t="shared" si="16"/>
        <v>-8.2107496107901246E-2</v>
      </c>
      <c r="Q58" s="41">
        <v>0.37415475605069098</v>
      </c>
      <c r="R58" s="42">
        <f t="shared" si="17"/>
        <v>-8.3223026696550018E-2</v>
      </c>
      <c r="S58" s="27"/>
      <c r="T58" s="43">
        <v>2012</v>
      </c>
      <c r="U58" s="38">
        <v>0.41477707006369402</v>
      </c>
      <c r="V58" s="39">
        <v>0.39925910681210097</v>
      </c>
      <c r="W58" s="39">
        <v>0.41171650962720202</v>
      </c>
      <c r="X58" s="39">
        <v>0.41308876581474502</v>
      </c>
      <c r="Y58" s="39">
        <v>0.39796321929998002</v>
      </c>
      <c r="Z58" s="39">
        <v>0.367945407598672</v>
      </c>
      <c r="AA58" s="39">
        <v>0.35924022756469098</v>
      </c>
      <c r="AB58" s="39">
        <v>0.339277334584702</v>
      </c>
      <c r="AC58" s="39">
        <v>0.34027712319728498</v>
      </c>
      <c r="AD58" s="39">
        <v>0.35561736366345498</v>
      </c>
      <c r="AE58" s="39">
        <v>0.35401810549739499</v>
      </c>
      <c r="AF58" s="40">
        <v>0.36158309158723601</v>
      </c>
      <c r="AG58" s="41">
        <f t="shared" si="15"/>
        <v>0.37623027710926316</v>
      </c>
      <c r="AH58" s="42">
        <f t="shared" si="18"/>
        <v>-8.2107496107901246E-2</v>
      </c>
      <c r="AI58" s="41">
        <v>0.37415475605069098</v>
      </c>
      <c r="AJ58" s="42">
        <f t="shared" si="19"/>
        <v>-8.3223026696550018E-2</v>
      </c>
      <c r="AK58" s="29"/>
    </row>
    <row r="59" spans="1:37" ht="14.4" customHeight="1">
      <c r="A59" s="22"/>
      <c r="B59" s="37">
        <v>2013</v>
      </c>
      <c r="C59" s="38">
        <v>0.37665562913907302</v>
      </c>
      <c r="D59" s="39">
        <v>0.39815832156124098</v>
      </c>
      <c r="E59" s="39">
        <v>0.42526315789473701</v>
      </c>
      <c r="F59" s="39">
        <v>0.444514667930689</v>
      </c>
      <c r="G59" s="39">
        <v>0.44451368333593</v>
      </c>
      <c r="H59" s="39">
        <v>0.405320435308343</v>
      </c>
      <c r="I59" s="39">
        <v>0.39529255445356598</v>
      </c>
      <c r="J59" s="39">
        <v>0.39113548092300698</v>
      </c>
      <c r="K59" s="39">
        <v>0.407315421088282</v>
      </c>
      <c r="L59" s="39">
        <v>0.43576709796672802</v>
      </c>
      <c r="M59" s="39">
        <v>0.444538130035601</v>
      </c>
      <c r="N59" s="40">
        <v>0.43626831437532199</v>
      </c>
      <c r="O59" s="41">
        <f t="shared" si="14"/>
        <v>0.41706190783437663</v>
      </c>
      <c r="P59" s="42">
        <f t="shared" si="16"/>
        <v>0.10852829559290189</v>
      </c>
      <c r="Q59" s="41">
        <v>0.41937677654780298</v>
      </c>
      <c r="R59" s="42">
        <f t="shared" si="17"/>
        <v>0.12086448124953209</v>
      </c>
      <c r="S59" s="27"/>
      <c r="T59" s="43">
        <v>2013</v>
      </c>
      <c r="U59" s="38">
        <v>0.37665562913907302</v>
      </c>
      <c r="V59" s="39">
        <v>0.39815832156124098</v>
      </c>
      <c r="W59" s="39">
        <v>0.42526315789473701</v>
      </c>
      <c r="X59" s="39">
        <v>0.444514667930689</v>
      </c>
      <c r="Y59" s="39">
        <v>0.44451368333593</v>
      </c>
      <c r="Z59" s="39">
        <v>0.405320435308343</v>
      </c>
      <c r="AA59" s="39">
        <v>0.39529255445356598</v>
      </c>
      <c r="AB59" s="39">
        <v>0.39113548092300698</v>
      </c>
      <c r="AC59" s="39">
        <v>0.407315421088282</v>
      </c>
      <c r="AD59" s="39">
        <v>0.43576709796672802</v>
      </c>
      <c r="AE59" s="39">
        <v>0.444538130035601</v>
      </c>
      <c r="AF59" s="40">
        <v>0.43626831437532199</v>
      </c>
      <c r="AG59" s="41">
        <f t="shared" si="15"/>
        <v>0.41706190783437663</v>
      </c>
      <c r="AH59" s="42">
        <f t="shared" si="18"/>
        <v>0.10852829559290189</v>
      </c>
      <c r="AI59" s="41">
        <v>0.41937677654780298</v>
      </c>
      <c r="AJ59" s="42">
        <f t="shared" si="19"/>
        <v>0.12086448124953209</v>
      </c>
      <c r="AK59" s="29"/>
    </row>
    <row r="60" spans="1:37" ht="14.4" customHeight="1">
      <c r="A60" s="22"/>
      <c r="B60" s="37">
        <v>2014</v>
      </c>
      <c r="C60" s="38">
        <v>0.45068341337273699</v>
      </c>
      <c r="D60" s="39">
        <v>0.45052292839903502</v>
      </c>
      <c r="E60" s="39">
        <v>0.46299977910315898</v>
      </c>
      <c r="F60" s="39">
        <v>0.46208375268017299</v>
      </c>
      <c r="G60" s="39">
        <v>0.45825731908609202</v>
      </c>
      <c r="H60" s="39">
        <v>0.45783237497821899</v>
      </c>
      <c r="I60" s="39">
        <v>0.44255097161239798</v>
      </c>
      <c r="J60" s="39">
        <v>0.41062394603710001</v>
      </c>
      <c r="K60" s="39">
        <v>0.39763148155763001</v>
      </c>
      <c r="L60" s="39">
        <v>0.378762954433295</v>
      </c>
      <c r="M60" s="39">
        <v>0.379277289209353</v>
      </c>
      <c r="N60" s="40">
        <v>0.37623926660306101</v>
      </c>
      <c r="O60" s="41">
        <f t="shared" si="14"/>
        <v>0.42728878975602091</v>
      </c>
      <c r="P60" s="42">
        <f t="shared" si="16"/>
        <v>2.4521256268039693E-2</v>
      </c>
      <c r="Q60" s="41">
        <v>0.42264838225031998</v>
      </c>
      <c r="R60" s="42">
        <f t="shared" si="17"/>
        <v>7.8011131885937779E-3</v>
      </c>
      <c r="S60" s="27"/>
      <c r="T60" s="43">
        <v>2014</v>
      </c>
      <c r="U60" s="38">
        <v>0.45068341337273699</v>
      </c>
      <c r="V60" s="39">
        <v>0.45052292839903502</v>
      </c>
      <c r="W60" s="39">
        <v>0.46299977910315898</v>
      </c>
      <c r="X60" s="39">
        <v>0.46208375268017299</v>
      </c>
      <c r="Y60" s="39">
        <v>0.45825731908609202</v>
      </c>
      <c r="Z60" s="39">
        <v>0.45783237497821899</v>
      </c>
      <c r="AA60" s="39">
        <v>0.44255097161239798</v>
      </c>
      <c r="AB60" s="39">
        <v>0.41062394603710001</v>
      </c>
      <c r="AC60" s="39">
        <v>0.39763148155763001</v>
      </c>
      <c r="AD60" s="39">
        <v>0.378762954433295</v>
      </c>
      <c r="AE60" s="39">
        <v>0.379277289209353</v>
      </c>
      <c r="AF60" s="40">
        <v>0.37623926660306101</v>
      </c>
      <c r="AG60" s="41">
        <f t="shared" si="15"/>
        <v>0.42728878975602091</v>
      </c>
      <c r="AH60" s="42">
        <f t="shared" si="18"/>
        <v>2.4521256268039693E-2</v>
      </c>
      <c r="AI60" s="41">
        <v>0.42264838225031998</v>
      </c>
      <c r="AJ60" s="42">
        <f t="shared" si="19"/>
        <v>7.8011131885937779E-3</v>
      </c>
      <c r="AK60" s="29"/>
    </row>
    <row r="61" spans="1:37" ht="14.4" customHeight="1">
      <c r="A61" s="22"/>
      <c r="B61" s="37">
        <v>2015</v>
      </c>
      <c r="C61" s="38">
        <v>0.368269398970548</v>
      </c>
      <c r="D61" s="39">
        <v>0.37208519795474798</v>
      </c>
      <c r="E61" s="39">
        <v>0.36099408959099399</v>
      </c>
      <c r="F61" s="39">
        <v>0.34169179672765299</v>
      </c>
      <c r="G61" s="39">
        <v>0.32144686310853898</v>
      </c>
      <c r="H61" s="39">
        <v>0.29426195843465303</v>
      </c>
      <c r="I61" s="39">
        <v>0.27530327707844499</v>
      </c>
      <c r="J61" s="39">
        <v>0.264359319911664</v>
      </c>
      <c r="K61" s="39">
        <v>0.262392521825282</v>
      </c>
      <c r="L61" s="39">
        <v>0.25787224714512202</v>
      </c>
      <c r="M61" s="39">
        <v>0.25329617911169</v>
      </c>
      <c r="N61" s="40">
        <v>0.25180230222905797</v>
      </c>
      <c r="O61" s="41">
        <f t="shared" si="14"/>
        <v>0.30198126267403297</v>
      </c>
      <c r="P61" s="42">
        <f t="shared" si="16"/>
        <v>-0.2932619111152851</v>
      </c>
      <c r="Q61" s="41">
        <v>0.29484615928250701</v>
      </c>
      <c r="R61" s="42">
        <f t="shared" si="17"/>
        <v>-0.30238427102773136</v>
      </c>
      <c r="S61" s="27"/>
      <c r="T61" s="43">
        <v>2015</v>
      </c>
      <c r="U61" s="38">
        <v>0.368269398970548</v>
      </c>
      <c r="V61" s="39">
        <v>0.37208519795474798</v>
      </c>
      <c r="W61" s="39">
        <v>0.36099408959099399</v>
      </c>
      <c r="X61" s="39">
        <v>0.34169179672765299</v>
      </c>
      <c r="Y61" s="39">
        <v>0.32144686310853898</v>
      </c>
      <c r="Z61" s="39">
        <v>0.29426195843465303</v>
      </c>
      <c r="AA61" s="39">
        <v>0.27530327707844499</v>
      </c>
      <c r="AB61" s="39">
        <v>0.264359319911664</v>
      </c>
      <c r="AC61" s="39">
        <v>0.262392521825282</v>
      </c>
      <c r="AD61" s="39">
        <v>0.25787224714512202</v>
      </c>
      <c r="AE61" s="39">
        <v>0.25329617911169</v>
      </c>
      <c r="AF61" s="40">
        <v>0.25180230222905797</v>
      </c>
      <c r="AG61" s="41">
        <f t="shared" si="15"/>
        <v>0.30198126267403297</v>
      </c>
      <c r="AH61" s="42">
        <f t="shared" si="18"/>
        <v>-0.2932619111152851</v>
      </c>
      <c r="AI61" s="41">
        <v>0.29484615928250701</v>
      </c>
      <c r="AJ61" s="42">
        <f t="shared" si="19"/>
        <v>-0.30238427102773136</v>
      </c>
      <c r="AK61" s="29"/>
    </row>
    <row r="62" spans="1:37" ht="14.4" customHeight="1">
      <c r="A62" s="22"/>
      <c r="B62" s="37">
        <v>2016</v>
      </c>
      <c r="C62" s="38">
        <v>0.23784801090271901</v>
      </c>
      <c r="D62" s="39">
        <v>0.235890652557319</v>
      </c>
      <c r="E62" s="39">
        <v>0.24438018841525999</v>
      </c>
      <c r="F62" s="39">
        <v>0.25289544661272401</v>
      </c>
      <c r="G62" s="44">
        <v>0.277560436515984</v>
      </c>
      <c r="H62" s="44">
        <v>0.28151468491146803</v>
      </c>
      <c r="I62" s="44">
        <v>0.29278956036426201</v>
      </c>
      <c r="J62" s="44">
        <v>0.30279413362366298</v>
      </c>
      <c r="K62" s="39">
        <v>0.30403057678943701</v>
      </c>
      <c r="L62" s="39">
        <v>0.31615217931867401</v>
      </c>
      <c r="M62" s="39">
        <v>0.309411109564249</v>
      </c>
      <c r="N62" s="40">
        <v>0.31310679611650499</v>
      </c>
      <c r="O62" s="41">
        <f t="shared" si="14"/>
        <v>0.280697814641022</v>
      </c>
      <c r="P62" s="42">
        <f t="shared" si="16"/>
        <v>-7.0479366317455661E-2</v>
      </c>
      <c r="Q62" s="41">
        <v>0.28465729192526501</v>
      </c>
      <c r="R62" s="42">
        <f t="shared" si="17"/>
        <v>-3.45565544487203E-2</v>
      </c>
      <c r="S62" s="27"/>
      <c r="T62" s="43">
        <v>2016</v>
      </c>
      <c r="U62" s="38">
        <v>0.23784801090271901</v>
      </c>
      <c r="V62" s="39">
        <v>0.235890652557319</v>
      </c>
      <c r="W62" s="39">
        <v>0.24438018841525999</v>
      </c>
      <c r="X62" s="39">
        <v>0.25289544661272401</v>
      </c>
      <c r="Y62" s="39">
        <v>0.27761859280483903</v>
      </c>
      <c r="Z62" s="39">
        <v>0.281369809604263</v>
      </c>
      <c r="AA62" s="39">
        <v>0.29263907846988702</v>
      </c>
      <c r="AB62" s="39">
        <v>0.30286248312623298</v>
      </c>
      <c r="AC62" s="39">
        <v>0.30403057678943701</v>
      </c>
      <c r="AD62" s="39">
        <v>0.31615217931867401</v>
      </c>
      <c r="AE62" s="39">
        <v>0.309411109564249</v>
      </c>
      <c r="AF62" s="40">
        <v>0.31310679611650499</v>
      </c>
      <c r="AG62" s="41">
        <f t="shared" si="15"/>
        <v>0.28068374369017574</v>
      </c>
      <c r="AH62" s="42">
        <f t="shared" si="18"/>
        <v>-7.0525961760900313E-2</v>
      </c>
      <c r="AI62" s="41">
        <v>0.28465729192526501</v>
      </c>
      <c r="AJ62" s="42">
        <f t="shared" si="19"/>
        <v>-3.45565544487203E-2</v>
      </c>
      <c r="AK62" s="29"/>
    </row>
    <row r="63" spans="1:37" ht="14.4" customHeight="1">
      <c r="A63" s="22"/>
      <c r="B63" s="206">
        <v>2017</v>
      </c>
      <c r="C63" s="38">
        <v>0.31561287616650902</v>
      </c>
      <c r="D63" s="39">
        <v>0.33553509943081999</v>
      </c>
      <c r="E63" s="39">
        <v>0.34733952702702697</v>
      </c>
      <c r="F63" s="39">
        <v>0.35454001337886798</v>
      </c>
      <c r="G63" s="39">
        <v>0.36365575343926598</v>
      </c>
      <c r="H63" s="39">
        <v>0.35694150810429898</v>
      </c>
      <c r="I63" s="39">
        <v>0.34600747180615199</v>
      </c>
      <c r="J63" s="44">
        <v>0.34746935735204798</v>
      </c>
      <c r="K63" s="44">
        <v>0.33873433866752201</v>
      </c>
      <c r="L63" s="44">
        <v>0.332034661771616</v>
      </c>
      <c r="M63" s="44">
        <v>0.33100470309965901</v>
      </c>
      <c r="N63" s="45">
        <v>0.33014515900907698</v>
      </c>
      <c r="O63" s="41">
        <f t="shared" si="14"/>
        <v>0.34158503910440524</v>
      </c>
      <c r="P63" s="42">
        <f t="shared" si="16"/>
        <v>0.21691378160977326</v>
      </c>
      <c r="Q63" s="41">
        <v>0.33864532425546001</v>
      </c>
      <c r="R63" s="42">
        <f t="shared" si="17"/>
        <v>0.18965975529750079</v>
      </c>
      <c r="S63" s="27"/>
      <c r="T63" s="206">
        <v>2017</v>
      </c>
      <c r="U63" s="38">
        <v>0.31561287616650902</v>
      </c>
      <c r="V63" s="39">
        <v>0.33553509943081999</v>
      </c>
      <c r="W63" s="39">
        <v>0.34733952702702697</v>
      </c>
      <c r="X63" s="39">
        <v>0.35454001337886798</v>
      </c>
      <c r="Y63" s="39">
        <v>0.36365575343926598</v>
      </c>
      <c r="Z63" s="39">
        <v>0.35694150810429898</v>
      </c>
      <c r="AA63" s="39">
        <v>0.34600747180615199</v>
      </c>
      <c r="AB63" s="39">
        <v>0.34281927878914698</v>
      </c>
      <c r="AC63" s="39">
        <v>0.33412887828162302</v>
      </c>
      <c r="AD63" s="39">
        <v>0.32743875430168001</v>
      </c>
      <c r="AE63" s="39">
        <v>0.32636584448017503</v>
      </c>
      <c r="AF63" s="40">
        <v>0.32548476454293601</v>
      </c>
      <c r="AG63" s="41">
        <f t="shared" si="15"/>
        <v>0.3396558141457085</v>
      </c>
      <c r="AH63" s="42">
        <f t="shared" si="18"/>
        <v>0.21010148176100762</v>
      </c>
      <c r="AI63" s="41">
        <v>0.33864532425546001</v>
      </c>
      <c r="AJ63" s="42">
        <f t="shared" si="19"/>
        <v>0.18965975529750079</v>
      </c>
      <c r="AK63" s="29"/>
    </row>
    <row r="64" spans="1:37" ht="14.4" customHeight="1">
      <c r="A64" s="22"/>
      <c r="B64" s="206">
        <v>2018</v>
      </c>
      <c r="C64" s="46">
        <v>0.33646605035115601</v>
      </c>
      <c r="D64" s="44">
        <v>0.34287976285141902</v>
      </c>
      <c r="E64" s="44">
        <v>0.36061871736649198</v>
      </c>
      <c r="F64" s="44">
        <v>0.357454009643485</v>
      </c>
      <c r="G64" s="44">
        <v>0.33938716950488601</v>
      </c>
      <c r="H64" s="44">
        <v>0.33416469651585301</v>
      </c>
      <c r="I64" s="44">
        <v>0.33259362075898302</v>
      </c>
      <c r="J64" s="39">
        <v>0.31858520079167502</v>
      </c>
      <c r="K64" s="39">
        <v>0.29909328789630601</v>
      </c>
      <c r="L64" s="39">
        <v>0.296478744754607</v>
      </c>
      <c r="M64" s="39">
        <v>0.28982389279896698</v>
      </c>
      <c r="N64" s="40">
        <v>0.29366114111876801</v>
      </c>
      <c r="O64" s="41">
        <f t="shared" si="14"/>
        <v>0.32510052452938304</v>
      </c>
      <c r="P64" s="42">
        <f t="shared" si="16"/>
        <v>-4.8258889260029081E-2</v>
      </c>
      <c r="Q64" s="41">
        <v>0.32229745657187803</v>
      </c>
      <c r="R64" s="42">
        <f t="shared" si="17"/>
        <v>-4.8274305040307719E-2</v>
      </c>
      <c r="S64" s="27"/>
      <c r="T64" s="206">
        <v>2018</v>
      </c>
      <c r="U64" s="38">
        <v>0.33159241473588302</v>
      </c>
      <c r="V64" s="39">
        <v>0.33800841514726498</v>
      </c>
      <c r="W64" s="39">
        <v>0.35573400958016299</v>
      </c>
      <c r="X64" s="39">
        <v>0.35243846452660899</v>
      </c>
      <c r="Y64" s="39">
        <v>0.33472940252601302</v>
      </c>
      <c r="Z64" s="39">
        <v>0.32965631575591398</v>
      </c>
      <c r="AA64" s="39">
        <v>0.328089887640449</v>
      </c>
      <c r="AB64" s="39">
        <v>0.31858520079167502</v>
      </c>
      <c r="AC64" s="39">
        <v>0.29909328789630601</v>
      </c>
      <c r="AD64" s="39">
        <v>0.296478744754607</v>
      </c>
      <c r="AE64" s="39">
        <v>0.28982389279896698</v>
      </c>
      <c r="AF64" s="40">
        <v>0.29366114111876801</v>
      </c>
      <c r="AG64" s="41">
        <f t="shared" si="15"/>
        <v>0.32232426477271819</v>
      </c>
      <c r="AH64" s="42">
        <f t="shared" si="18"/>
        <v>-5.1026800222990665E-2</v>
      </c>
      <c r="AI64" s="41">
        <v>0.319792087502487</v>
      </c>
      <c r="AJ64" s="42">
        <f t="shared" si="19"/>
        <v>-5.5672514582693289E-2</v>
      </c>
      <c r="AK64" s="29"/>
    </row>
    <row r="65" spans="1:37" ht="14.4" customHeight="1">
      <c r="A65" s="22"/>
      <c r="B65" s="206">
        <v>2019</v>
      </c>
      <c r="C65" s="38">
        <v>0.28928155101539998</v>
      </c>
      <c r="D65" s="44">
        <v>0.29653480527445603</v>
      </c>
      <c r="E65" s="44">
        <v>0.30318494281511699</v>
      </c>
      <c r="F65" s="44">
        <v>0.30847199437543898</v>
      </c>
      <c r="G65" s="44">
        <v>0.302022011773739</v>
      </c>
      <c r="H65" s="44">
        <v>0.30921985815602798</v>
      </c>
      <c r="I65" s="44">
        <v>0.30927835051546398</v>
      </c>
      <c r="J65" s="44">
        <v>0.30778216610112902</v>
      </c>
      <c r="K65" s="44">
        <v>0.30601509907061702</v>
      </c>
      <c r="L65" s="44">
        <v>0.30401329723063703</v>
      </c>
      <c r="M65" s="44">
        <v>0.29945003852387198</v>
      </c>
      <c r="N65" s="45">
        <v>0.31134761207928702</v>
      </c>
      <c r="O65" s="41">
        <f t="shared" si="14"/>
        <v>0.30388347724426534</v>
      </c>
      <c r="P65" s="42">
        <f t="shared" si="16"/>
        <v>-6.5263036151146148E-2</v>
      </c>
      <c r="Q65" s="41">
        <v>0.30410499557590598</v>
      </c>
      <c r="R65" s="42">
        <f t="shared" si="17"/>
        <v>-5.6446182323237837E-2</v>
      </c>
      <c r="S65" s="27"/>
      <c r="T65" s="206">
        <v>2019</v>
      </c>
      <c r="U65" s="38">
        <v>0.28928155101539998</v>
      </c>
      <c r="V65" s="39">
        <v>0.29408157007053098</v>
      </c>
      <c r="W65" s="39">
        <v>0.300183111698136</v>
      </c>
      <c r="X65" s="39">
        <v>0.30495664401218697</v>
      </c>
      <c r="Y65" s="39">
        <v>0.29889372351619597</v>
      </c>
      <c r="Z65" s="39">
        <v>0.30609929078014197</v>
      </c>
      <c r="AA65" s="39">
        <v>0.30669385176463798</v>
      </c>
      <c r="AB65" s="39">
        <v>0.30427768815709</v>
      </c>
      <c r="AC65" s="39">
        <v>0.30252650513750001</v>
      </c>
      <c r="AD65" s="39">
        <v>0.30052813597490702</v>
      </c>
      <c r="AE65" s="39">
        <v>0.29596960599378302</v>
      </c>
      <c r="AF65" s="40">
        <v>0.30011972861513903</v>
      </c>
      <c r="AG65" s="41">
        <f t="shared" si="15"/>
        <v>0.30030095056130407</v>
      </c>
      <c r="AH65" s="42">
        <f t="shared" si="18"/>
        <v>-6.8326578599174126E-2</v>
      </c>
      <c r="AI65" s="41">
        <v>0.30046525273006602</v>
      </c>
      <c r="AJ65" s="42">
        <f t="shared" si="19"/>
        <v>-6.0435625294420925E-2</v>
      </c>
      <c r="AK65" s="29"/>
    </row>
    <row r="66" spans="1:37" ht="14.4" customHeight="1">
      <c r="A66" s="22"/>
      <c r="B66" s="206">
        <v>2020</v>
      </c>
      <c r="C66" s="46">
        <v>0.32060012768674201</v>
      </c>
      <c r="D66" s="44">
        <v>0.32401955630322798</v>
      </c>
      <c r="E66" s="44">
        <v>0.28207553699559301</v>
      </c>
      <c r="F66" s="44">
        <v>0.28662625890161603</v>
      </c>
      <c r="G66" s="44">
        <v>0.29125028781947998</v>
      </c>
      <c r="H66" s="39">
        <v>0.288425403983465</v>
      </c>
      <c r="I66" s="39">
        <v>0.28936490041337798</v>
      </c>
      <c r="J66" s="44">
        <v>0.29022002075771403</v>
      </c>
      <c r="K66" s="44">
        <v>0.30295122571001398</v>
      </c>
      <c r="L66" s="44">
        <v>0.301111806798881</v>
      </c>
      <c r="M66" s="44">
        <v>0.30222519430022299</v>
      </c>
      <c r="N66" s="45">
        <v>0.30718432420892799</v>
      </c>
      <c r="O66" s="41">
        <f t="shared" si="14"/>
        <v>0.29883788698993852</v>
      </c>
      <c r="P66" s="42">
        <f t="shared" si="16"/>
        <v>-1.6603700537068389E-2</v>
      </c>
      <c r="Q66" s="41">
        <v>0.29874128780418102</v>
      </c>
      <c r="R66" s="42">
        <f t="shared" si="17"/>
        <v>-1.7637683858390152E-2</v>
      </c>
      <c r="S66" s="27"/>
      <c r="T66" s="206">
        <v>2020</v>
      </c>
      <c r="U66" s="38">
        <v>0.30964034901042797</v>
      </c>
      <c r="V66" s="39">
        <v>0.31332141730627699</v>
      </c>
      <c r="W66" s="39">
        <v>0.27916849318228998</v>
      </c>
      <c r="X66" s="39">
        <v>0.28369938466502298</v>
      </c>
      <c r="Y66" s="39">
        <v>0.28827999078977701</v>
      </c>
      <c r="Z66" s="39">
        <v>0.288425403983465</v>
      </c>
      <c r="AA66" s="39">
        <v>0.28936490041337798</v>
      </c>
      <c r="AB66" s="39">
        <v>0.28546651979281401</v>
      </c>
      <c r="AC66" s="39">
        <v>0.29818079122637697</v>
      </c>
      <c r="AD66" s="39">
        <v>0.29634314896807001</v>
      </c>
      <c r="AE66" s="39">
        <v>0.29744909899368099</v>
      </c>
      <c r="AF66" s="40">
        <v>0.30238701764317399</v>
      </c>
      <c r="AG66" s="41">
        <f t="shared" si="15"/>
        <v>0.29431054299789616</v>
      </c>
      <c r="AH66" s="42">
        <f t="shared" si="18"/>
        <v>-1.994801399133439E-2</v>
      </c>
      <c r="AI66" s="41">
        <v>0.29427909496996102</v>
      </c>
      <c r="AJ66" s="42">
        <f t="shared" si="19"/>
        <v>-2.0588596198384934E-2</v>
      </c>
      <c r="AK66" s="29"/>
    </row>
    <row r="67" spans="1:37" ht="14.4" customHeight="1">
      <c r="A67" s="22"/>
      <c r="B67" s="206">
        <v>2021</v>
      </c>
      <c r="C67" s="46">
        <v>0.32000371068925998</v>
      </c>
      <c r="D67" s="44">
        <v>0.32654156739736301</v>
      </c>
      <c r="E67" s="44">
        <v>0.31998370560081302</v>
      </c>
      <c r="F67" s="44">
        <v>0.34201742550745401</v>
      </c>
      <c r="G67" s="44">
        <v>0.354020630799461</v>
      </c>
      <c r="H67" s="44">
        <v>0.35518585860777802</v>
      </c>
      <c r="I67" s="44">
        <v>0.36076709929149398</v>
      </c>
      <c r="J67" s="44">
        <v>0.36641374204350302</v>
      </c>
      <c r="K67" s="44">
        <v>0.36669545569241302</v>
      </c>
      <c r="L67" s="44">
        <v>0.34832433483889003</v>
      </c>
      <c r="M67" s="44">
        <v>0.354965323488248</v>
      </c>
      <c r="N67" s="45">
        <v>0.35563825152968298</v>
      </c>
      <c r="O67" s="41">
        <f t="shared" si="14"/>
        <v>0.34754642545719666</v>
      </c>
      <c r="P67" s="42">
        <f t="shared" si="16"/>
        <v>0.16299318322009859</v>
      </c>
      <c r="Q67" s="41">
        <v>0.34930739892531898</v>
      </c>
      <c r="R67" s="42">
        <f t="shared" si="17"/>
        <v>0.16926388546026172</v>
      </c>
      <c r="S67" s="27"/>
      <c r="T67" s="206">
        <v>2021</v>
      </c>
      <c r="U67" s="38">
        <v>0.315204540080397</v>
      </c>
      <c r="V67" s="39">
        <v>0.32178797098057599</v>
      </c>
      <c r="W67" s="39">
        <v>0.31628411350081298</v>
      </c>
      <c r="X67" s="39">
        <v>0.33817192107053801</v>
      </c>
      <c r="Y67" s="39">
        <v>0.34920995794020698</v>
      </c>
      <c r="Z67" s="39">
        <v>0.35114678899082602</v>
      </c>
      <c r="AA67" s="39">
        <v>0.34996463851436099</v>
      </c>
      <c r="AB67" s="39">
        <v>0.35539102267468797</v>
      </c>
      <c r="AC67" s="39">
        <v>0.355545145801616</v>
      </c>
      <c r="AD67" s="39">
        <v>0.34253484959647801</v>
      </c>
      <c r="AE67" s="39">
        <v>0.34985223914525998</v>
      </c>
      <c r="AF67" s="40">
        <v>0.35059221658206402</v>
      </c>
      <c r="AG67" s="41">
        <f t="shared" si="15"/>
        <v>0.34130711707315192</v>
      </c>
      <c r="AH67" s="42">
        <f t="shared" si="18"/>
        <v>0.15968362395903601</v>
      </c>
      <c r="AI67" s="41">
        <v>0.34281851132805602</v>
      </c>
      <c r="AJ67" s="42">
        <f t="shared" si="19"/>
        <v>0.16494347436758883</v>
      </c>
      <c r="AK67" s="29"/>
    </row>
    <row r="68" spans="1:37" ht="15" customHeight="1">
      <c r="A68" s="22"/>
      <c r="B68" s="206">
        <v>2022</v>
      </c>
      <c r="C68" s="223">
        <v>0.35740761541053578</v>
      </c>
      <c r="D68" s="222">
        <v>0.39861396745952216</v>
      </c>
      <c r="E68" s="222">
        <v>0.42081197375678497</v>
      </c>
      <c r="F68" s="222">
        <v>0.43550525742548957</v>
      </c>
      <c r="G68" s="222">
        <v>0.43697748706814321</v>
      </c>
      <c r="H68" s="222">
        <v>0.4464637611343234</v>
      </c>
      <c r="I68" s="222">
        <v>0.42540764176198587</v>
      </c>
      <c r="J68" s="222">
        <v>0.4263470093919921</v>
      </c>
      <c r="K68" s="222">
        <v>0.41768395068122566</v>
      </c>
      <c r="L68" s="222">
        <v>0.40940087676570869</v>
      </c>
      <c r="M68" s="222">
        <v>0.41588044380707984</v>
      </c>
      <c r="N68" s="222">
        <v>0.41877718086467125</v>
      </c>
      <c r="O68" s="41">
        <f t="shared" ref="O68:O69" si="20">AVERAGE(C68:N68)</f>
        <v>0.41743976379395514</v>
      </c>
      <c r="P68" s="42">
        <f t="shared" ref="P68:R70" si="21">O68/O67-1</f>
        <v>0.2011050415633362</v>
      </c>
      <c r="Q68" s="41">
        <v>0.41771464653289508</v>
      </c>
      <c r="R68" s="42">
        <f t="shared" si="21"/>
        <v>0.19583681255546903</v>
      </c>
      <c r="S68" s="27"/>
      <c r="T68" s="206">
        <v>2022</v>
      </c>
      <c r="U68" s="223">
        <v>0.35740761541053578</v>
      </c>
      <c r="V68" s="222">
        <v>0.39857338057852199</v>
      </c>
      <c r="W68" s="222">
        <v>0.42066141135809482</v>
      </c>
      <c r="X68" s="222">
        <v>0.4354905343993779</v>
      </c>
      <c r="Y68" s="222">
        <v>0.43696942931449034</v>
      </c>
      <c r="Z68" s="222">
        <v>0.44645550527903471</v>
      </c>
      <c r="AA68" s="222">
        <v>0.42540764176198587</v>
      </c>
      <c r="AB68" s="222">
        <v>0.4263470093919921</v>
      </c>
      <c r="AC68" s="222">
        <v>0.41768441621885694</v>
      </c>
      <c r="AD68" s="222">
        <v>0.40940087676570869</v>
      </c>
      <c r="AE68" s="222">
        <v>0.41588044380707984</v>
      </c>
      <c r="AF68" s="222">
        <v>0.41877718086467125</v>
      </c>
      <c r="AG68" s="41">
        <f t="shared" si="15"/>
        <v>0.41742128709586246</v>
      </c>
      <c r="AH68" s="42">
        <f t="shared" si="18"/>
        <v>0.22300786070744927</v>
      </c>
      <c r="AI68" s="41">
        <v>0.41769963796243853</v>
      </c>
      <c r="AJ68" s="42">
        <f t="shared" si="18"/>
        <v>0.21842789744433011</v>
      </c>
      <c r="AK68" s="29"/>
    </row>
    <row r="69" spans="1:37" ht="15" customHeight="1">
      <c r="A69" s="22"/>
      <c r="B69" s="206">
        <v>2023</v>
      </c>
      <c r="C69" s="223">
        <v>0.42070786573909508</v>
      </c>
      <c r="D69" s="222">
        <v>0.43430357691913496</v>
      </c>
      <c r="E69" s="222">
        <v>0.43976315857920312</v>
      </c>
      <c r="F69" s="222">
        <v>0.45461613200756679</v>
      </c>
      <c r="G69" s="222">
        <v>0.45315354725817658</v>
      </c>
      <c r="H69" s="222">
        <v>0.45497382198952874</v>
      </c>
      <c r="I69" s="222">
        <v>0.45922406967537605</v>
      </c>
      <c r="J69" s="44">
        <v>0.38103303141579908</v>
      </c>
      <c r="K69" s="44">
        <v>0.37498997957159025</v>
      </c>
      <c r="L69" s="44">
        <v>0.36449965502214882</v>
      </c>
      <c r="M69" s="44">
        <v>0.3603897311079669</v>
      </c>
      <c r="N69" s="222">
        <v>0.35760517976105632</v>
      </c>
      <c r="O69" s="41">
        <f t="shared" si="20"/>
        <v>0.41293831242055351</v>
      </c>
      <c r="P69" s="42">
        <f t="shared" si="21"/>
        <v>-1.0783475279138699E-2</v>
      </c>
      <c r="Q69" s="41">
        <v>0.40869661057801471</v>
      </c>
      <c r="R69" s="42">
        <f t="shared" si="21"/>
        <v>-2.1588986715528558E-2</v>
      </c>
      <c r="S69" s="27"/>
      <c r="T69" s="206">
        <v>2023</v>
      </c>
      <c r="U69" s="223">
        <v>0.42070786573909508</v>
      </c>
      <c r="V69" s="222">
        <v>0.43430357691913496</v>
      </c>
      <c r="W69" s="222">
        <v>0.43976273266516669</v>
      </c>
      <c r="X69" s="222">
        <v>0.45461578133058272</v>
      </c>
      <c r="Y69" s="222">
        <v>0.45315354725817658</v>
      </c>
      <c r="Z69" s="222">
        <v>0.45497382198952874</v>
      </c>
      <c r="AA69" s="222">
        <v>0.45922406967537605</v>
      </c>
      <c r="AB69" s="222">
        <v>0.37726876436553858</v>
      </c>
      <c r="AC69" s="222">
        <v>0.37120536884601268</v>
      </c>
      <c r="AD69" s="222">
        <v>0.36449965502214882</v>
      </c>
      <c r="AE69" s="222">
        <v>0.3603897311079669</v>
      </c>
      <c r="AF69" s="222">
        <v>0.35760517976105632</v>
      </c>
      <c r="AG69" s="41">
        <f t="shared" si="15"/>
        <v>0.41230917455664856</v>
      </c>
      <c r="AH69" s="42">
        <f t="shared" ref="AH69" si="22">AG69/AG68-1</f>
        <v>-1.224688988618805E-2</v>
      </c>
      <c r="AI69" s="41">
        <v>0.40795872687437473</v>
      </c>
      <c r="AJ69" s="42">
        <f t="shared" si="18"/>
        <v>-2.3320372350765006E-2</v>
      </c>
      <c r="AK69" s="29"/>
    </row>
    <row r="70" spans="1:37" ht="15" customHeight="1">
      <c r="A70" s="22"/>
      <c r="B70" s="206">
        <v>2024</v>
      </c>
      <c r="C70" s="223">
        <v>0.36287250025893542</v>
      </c>
      <c r="D70" s="294">
        <v>0.39465900692082884</v>
      </c>
      <c r="E70" s="294">
        <v>0.41999083239051077</v>
      </c>
      <c r="F70" s="294">
        <v>0.42337829709881353</v>
      </c>
      <c r="G70" s="294">
        <v>0.42340349167709268</v>
      </c>
      <c r="H70" s="222">
        <v>0.39090353468473055</v>
      </c>
      <c r="I70" s="294">
        <v>0.39960037108775803</v>
      </c>
      <c r="J70" s="294">
        <v>0.40306180747584003</v>
      </c>
      <c r="K70" s="294">
        <v>0.40281262719962241</v>
      </c>
      <c r="L70" s="294">
        <v>0.3915416805832147</v>
      </c>
      <c r="M70" s="300">
        <v>0.39066329653447857</v>
      </c>
      <c r="N70" s="300">
        <v>0.3920596711152291</v>
      </c>
      <c r="O70" s="41">
        <f t="shared" ref="O70" si="23">AVERAGE(C70:N70)</f>
        <v>0.39957892641892118</v>
      </c>
      <c r="P70" s="42">
        <f>+O70/O69-1</f>
        <v>-3.2352013847595229E-2</v>
      </c>
      <c r="Q70" s="41">
        <v>0.39658372155990007</v>
      </c>
      <c r="R70" s="42">
        <f t="shared" si="21"/>
        <v>-2.9637850436252777E-2</v>
      </c>
      <c r="S70" s="27"/>
      <c r="T70" s="206">
        <v>2024</v>
      </c>
      <c r="U70" s="223">
        <v>0.36280947392626278</v>
      </c>
      <c r="V70" s="222">
        <v>0.38328773428111174</v>
      </c>
      <c r="W70" s="222">
        <v>0.40837042242523619</v>
      </c>
      <c r="X70" s="222">
        <v>0.41165310948829231</v>
      </c>
      <c r="Y70" s="222">
        <v>0.41151729151521449</v>
      </c>
      <c r="Z70" s="222">
        <v>0.39090353468473055</v>
      </c>
      <c r="AA70" s="222">
        <v>0.38220208156964297</v>
      </c>
      <c r="AB70" s="222">
        <v>0.37759706451133035</v>
      </c>
      <c r="AC70" s="222">
        <v>0.37785888077858876</v>
      </c>
      <c r="AD70" s="222">
        <v>0.36678700361010835</v>
      </c>
      <c r="AE70" s="222">
        <v>0.37719855901674088</v>
      </c>
      <c r="AF70" s="222">
        <v>0.37389075763421575</v>
      </c>
      <c r="AG70" s="41">
        <f t="shared" ref="AG70" si="24">AVERAGE(U70:AF70)</f>
        <v>0.38533965945345633</v>
      </c>
      <c r="AH70" s="42">
        <f t="shared" ref="AH70" si="25">AG70/AG69-1</f>
        <v>-6.5410902224507295E-2</v>
      </c>
      <c r="AI70" s="41">
        <v>0.38363202432610127</v>
      </c>
      <c r="AJ70" s="42">
        <f t="shared" si="18"/>
        <v>-5.9630303130553064E-2</v>
      </c>
      <c r="AK70" s="29"/>
    </row>
    <row r="71" spans="1:37" s="293" customFormat="1" ht="15" customHeight="1" thickBot="1">
      <c r="A71" s="286"/>
      <c r="B71" s="287">
        <v>2025</v>
      </c>
      <c r="C71" s="299">
        <v>0.41508068721365682</v>
      </c>
      <c r="D71" s="299">
        <v>0.4187468631669341</v>
      </c>
      <c r="E71" s="299">
        <v>0.43485653481737274</v>
      </c>
      <c r="F71" s="299">
        <v>0.43068335515668066</v>
      </c>
      <c r="G71" s="299">
        <v>0.4296949552002336</v>
      </c>
      <c r="H71" s="259">
        <v>0.4356296769858809</v>
      </c>
      <c r="I71" s="295">
        <v>0.43464701418748736</v>
      </c>
      <c r="J71" s="295">
        <v>0.43092217428913199</v>
      </c>
      <c r="K71" s="295">
        <v>0.43336474411521536</v>
      </c>
      <c r="L71" s="208"/>
      <c r="M71" s="208"/>
      <c r="N71" s="208"/>
      <c r="O71" s="288"/>
      <c r="P71" s="289"/>
      <c r="Q71" s="290"/>
      <c r="R71" s="289"/>
      <c r="S71" s="291"/>
      <c r="T71" s="287">
        <v>2025</v>
      </c>
      <c r="U71" s="302">
        <v>0.38612954909590297</v>
      </c>
      <c r="V71" s="259">
        <v>0.39984228958415474</v>
      </c>
      <c r="W71" s="259">
        <v>0.41659766743157245</v>
      </c>
      <c r="X71" s="259">
        <v>0.4257280635400908</v>
      </c>
      <c r="Y71" s="259">
        <v>0.42464373110695258</v>
      </c>
      <c r="Z71" s="259">
        <v>0.4356296769858809</v>
      </c>
      <c r="AA71" s="295">
        <v>0.43464701418748736</v>
      </c>
      <c r="AB71" s="295">
        <v>0.43092217428913199</v>
      </c>
      <c r="AC71" s="295">
        <v>0.43336474411521536</v>
      </c>
      <c r="AD71" s="259"/>
      <c r="AE71" s="259"/>
      <c r="AF71" s="259"/>
      <c r="AG71" s="288"/>
      <c r="AH71" s="289"/>
      <c r="AI71" s="288"/>
      <c r="AJ71" s="289"/>
      <c r="AK71" s="292"/>
    </row>
    <row r="72" spans="1:37" ht="14.4" customHeight="1">
      <c r="A72" s="6"/>
      <c r="B72" s="56" t="s">
        <v>20</v>
      </c>
      <c r="C72" s="56"/>
      <c r="D72" s="56"/>
      <c r="E72" s="56"/>
      <c r="F72" s="56"/>
      <c r="G72" s="56"/>
      <c r="H72" s="56"/>
      <c r="I72" s="56"/>
      <c r="J72" s="52"/>
      <c r="K72" s="52"/>
      <c r="L72" s="78"/>
      <c r="M72" s="79"/>
      <c r="N72" s="52"/>
      <c r="O72" s="277"/>
      <c r="P72" s="277"/>
      <c r="Q72" s="80"/>
      <c r="R72" s="52"/>
      <c r="S72" s="7"/>
      <c r="T72" s="56" t="s">
        <v>20</v>
      </c>
      <c r="U72" s="56"/>
      <c r="V72" s="56"/>
      <c r="W72" s="56"/>
      <c r="X72" s="56"/>
      <c r="Y72" s="56"/>
      <c r="Z72" s="56"/>
      <c r="AA72" s="52"/>
      <c r="AB72" s="52"/>
      <c r="AC72" s="52"/>
      <c r="AD72" s="78"/>
      <c r="AE72" s="79"/>
      <c r="AF72" s="52"/>
      <c r="AG72" s="52"/>
      <c r="AH72" s="52"/>
      <c r="AI72" s="80"/>
      <c r="AJ72" s="52"/>
      <c r="AK72" s="9"/>
    </row>
    <row r="73" spans="1:37" ht="14.4" customHeight="1">
      <c r="A73" s="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7"/>
      <c r="M73" s="55"/>
      <c r="N73" s="55"/>
      <c r="O73" s="55"/>
      <c r="P73" s="7"/>
      <c r="Q73" s="61"/>
      <c r="R73" s="7"/>
      <c r="S73" s="7"/>
      <c r="T73" s="7"/>
      <c r="U73" s="7"/>
      <c r="V73" s="7"/>
      <c r="W73" s="7"/>
      <c r="X73" s="7"/>
      <c r="Y73" s="7"/>
      <c r="Z73" s="7"/>
      <c r="AA73" s="56"/>
      <c r="AB73" s="56"/>
      <c r="AC73" s="56"/>
      <c r="AD73" s="7"/>
      <c r="AE73" s="55"/>
      <c r="AF73" s="55"/>
      <c r="AG73" s="55"/>
      <c r="AH73" s="7"/>
      <c r="AI73" s="66"/>
      <c r="AJ73" s="7"/>
      <c r="AK73" s="9"/>
    </row>
    <row r="74" spans="1:37" ht="14.4" customHeight="1">
      <c r="A74" s="6"/>
      <c r="B74" s="56"/>
      <c r="C74" s="56"/>
      <c r="D74" s="56"/>
      <c r="E74" s="56"/>
      <c r="F74" s="56"/>
      <c r="G74" s="56"/>
      <c r="H74" s="61"/>
      <c r="I74" s="61"/>
      <c r="J74" s="61"/>
      <c r="K74" s="61"/>
      <c r="L74" s="61"/>
      <c r="M74" s="61"/>
      <c r="N74" s="61"/>
      <c r="O74" s="7"/>
      <c r="P74" s="7"/>
      <c r="Q74" s="298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9"/>
    </row>
    <row r="75" spans="1:37" ht="14.4" customHeight="1">
      <c r="A75" s="6"/>
      <c r="B75" s="60" t="s">
        <v>21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7"/>
      <c r="P75" s="7"/>
      <c r="Q75" s="18"/>
      <c r="R75" s="7"/>
      <c r="S75" s="7"/>
      <c r="T75" s="59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9"/>
    </row>
    <row r="76" spans="1:37" ht="15.75" customHeight="1">
      <c r="A76" s="51"/>
      <c r="B76" s="62"/>
      <c r="C76" s="63" t="s">
        <v>22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8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5.75" customHeight="1">
      <c r="A77" s="51"/>
      <c r="B77" s="64"/>
      <c r="C77" s="65" t="s">
        <v>23</v>
      </c>
      <c r="D77" s="58"/>
      <c r="E77" s="58"/>
      <c r="F77" s="58"/>
      <c r="G77" s="58"/>
      <c r="H77" s="58"/>
      <c r="I77" s="58"/>
      <c r="J77" s="58"/>
      <c r="K77" s="7"/>
      <c r="L77" s="7"/>
      <c r="M77" s="7"/>
      <c r="N77" s="7"/>
      <c r="O77" s="7"/>
      <c r="P77" s="7"/>
      <c r="Q77" s="66"/>
      <c r="R77" s="7"/>
      <c r="S77" s="7"/>
      <c r="T77" s="59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82"/>
    </row>
    <row r="78" spans="1:37" ht="15.75" customHeight="1">
      <c r="A78" s="51"/>
      <c r="B78" s="68"/>
      <c r="C78" s="63" t="s">
        <v>24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6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9.5" customHeight="1">
      <c r="A79" s="70"/>
      <c r="B79" s="321"/>
      <c r="C79" s="322"/>
      <c r="D79" s="322"/>
      <c r="E79" s="322"/>
      <c r="F79" s="323"/>
      <c r="G79" s="323"/>
      <c r="H79" s="323"/>
      <c r="I79" s="323"/>
      <c r="J79" s="323"/>
      <c r="K79" s="322"/>
      <c r="L79" s="322"/>
      <c r="M79" s="322"/>
      <c r="N79" s="322"/>
      <c r="O79" s="322"/>
      <c r="P79" s="322"/>
      <c r="Q79" s="322"/>
      <c r="R79" s="322"/>
      <c r="S79" s="7"/>
      <c r="T79" s="59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82"/>
    </row>
    <row r="80" spans="1:37" ht="15" customHeight="1">
      <c r="A80" s="6"/>
      <c r="B80" s="11"/>
      <c r="C80" s="7"/>
      <c r="D80" s="7"/>
      <c r="E80" s="71"/>
      <c r="F80" s="315" t="s">
        <v>26</v>
      </c>
      <c r="G80" s="316"/>
      <c r="H80" s="316"/>
      <c r="I80" s="316"/>
      <c r="J80" s="317"/>
      <c r="K80" s="72"/>
      <c r="L80" s="7"/>
      <c r="M80" s="7"/>
      <c r="N80" s="7"/>
      <c r="O80" s="7"/>
      <c r="P80" s="7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5" customHeight="1">
      <c r="A81" s="6"/>
      <c r="B81" s="13"/>
      <c r="C81" s="13"/>
      <c r="D81" s="13"/>
      <c r="E81" s="13"/>
      <c r="F81" s="20"/>
      <c r="G81" s="20"/>
      <c r="H81" s="20"/>
      <c r="I81" s="20"/>
      <c r="J81" s="20"/>
      <c r="K81" s="13"/>
      <c r="L81" s="13"/>
      <c r="M81" s="13"/>
      <c r="N81" s="13"/>
      <c r="O81" s="13"/>
      <c r="P81" s="13"/>
      <c r="Q81" s="7"/>
      <c r="R81" s="7"/>
      <c r="S81" s="7"/>
      <c r="T81" s="8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9"/>
    </row>
    <row r="82" spans="1:37" ht="28.5" customHeight="1">
      <c r="A82" s="22"/>
      <c r="B82" s="83" t="s">
        <v>4</v>
      </c>
      <c r="C82" s="24" t="s">
        <v>5</v>
      </c>
      <c r="D82" s="25" t="s">
        <v>6</v>
      </c>
      <c r="E82" s="25" t="s">
        <v>7</v>
      </c>
      <c r="F82" s="25" t="s">
        <v>8</v>
      </c>
      <c r="G82" s="25" t="s">
        <v>9</v>
      </c>
      <c r="H82" s="25" t="s">
        <v>10</v>
      </c>
      <c r="I82" s="25" t="s">
        <v>11</v>
      </c>
      <c r="J82" s="25" t="s">
        <v>12</v>
      </c>
      <c r="K82" s="25" t="s">
        <v>13</v>
      </c>
      <c r="L82" s="25" t="s">
        <v>14</v>
      </c>
      <c r="M82" s="25" t="s">
        <v>15</v>
      </c>
      <c r="N82" s="26" t="s">
        <v>16</v>
      </c>
      <c r="O82" s="24" t="s">
        <v>27</v>
      </c>
      <c r="P82" s="26" t="s">
        <v>18</v>
      </c>
      <c r="Q82" s="84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4.4" customHeight="1">
      <c r="A83" s="22"/>
      <c r="B83" s="30">
        <v>2002</v>
      </c>
      <c r="C83" s="31">
        <v>14.335000000000001</v>
      </c>
      <c r="D83" s="32">
        <v>14.643000000000001</v>
      </c>
      <c r="E83" s="32">
        <v>15.22</v>
      </c>
      <c r="F83" s="32">
        <v>16.367999999999999</v>
      </c>
      <c r="G83" s="32">
        <v>17.045999999999999</v>
      </c>
      <c r="H83" s="32">
        <v>17.812000000000001</v>
      </c>
      <c r="I83" s="32">
        <v>22.634</v>
      </c>
      <c r="J83" s="32">
        <v>26.692</v>
      </c>
      <c r="K83" s="32">
        <v>28.957999999999998</v>
      </c>
      <c r="L83" s="32">
        <v>27.009</v>
      </c>
      <c r="M83" s="32">
        <v>27.186</v>
      </c>
      <c r="N83" s="33">
        <v>27.25</v>
      </c>
      <c r="O83" s="34">
        <f t="shared" ref="O83:O103" si="26">AVERAGE(C83:N83)</f>
        <v>21.26275</v>
      </c>
      <c r="P83" s="35"/>
      <c r="Q83" s="84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14.4" customHeight="1">
      <c r="A84" s="22"/>
      <c r="B84" s="37">
        <v>2003</v>
      </c>
      <c r="C84" s="38">
        <v>27.817</v>
      </c>
      <c r="D84" s="39">
        <v>28.5</v>
      </c>
      <c r="E84" s="39">
        <v>28.734000000000002</v>
      </c>
      <c r="F84" s="39">
        <v>28.762</v>
      </c>
      <c r="G84" s="39">
        <v>29.161999999999999</v>
      </c>
      <c r="H84" s="39">
        <v>26.713000000000001</v>
      </c>
      <c r="I84" s="39">
        <v>26.925000000000001</v>
      </c>
      <c r="J84" s="39">
        <v>27.805</v>
      </c>
      <c r="K84" s="39">
        <v>27.859000000000002</v>
      </c>
      <c r="L84" s="39">
        <v>28.257000000000001</v>
      </c>
      <c r="M84" s="39">
        <v>28.885000000000002</v>
      </c>
      <c r="N84" s="40">
        <v>29.238</v>
      </c>
      <c r="O84" s="41">
        <f t="shared" si="26"/>
        <v>28.221416666666666</v>
      </c>
      <c r="P84" s="42">
        <f t="shared" ref="P84:P93" si="27">(O84/O83)-1</f>
        <v>0.3272703044839762</v>
      </c>
      <c r="Q84" s="84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37">
        <v>2004</v>
      </c>
      <c r="C85" s="38">
        <v>29.414999999999999</v>
      </c>
      <c r="D85" s="39">
        <v>29.515000000000001</v>
      </c>
      <c r="E85" s="39">
        <v>29.606000000000002</v>
      </c>
      <c r="F85" s="39">
        <v>29.65</v>
      </c>
      <c r="G85" s="39">
        <v>29.760999999999999</v>
      </c>
      <c r="H85" s="39">
        <v>29.74</v>
      </c>
      <c r="I85" s="39">
        <v>29.462</v>
      </c>
      <c r="J85" s="39">
        <v>28.873999999999999</v>
      </c>
      <c r="K85" s="39">
        <v>27.94</v>
      </c>
      <c r="L85" s="39">
        <v>27.164999999999999</v>
      </c>
      <c r="M85" s="39">
        <v>26.645</v>
      </c>
      <c r="N85" s="40">
        <v>26.564</v>
      </c>
      <c r="O85" s="41">
        <f t="shared" si="26"/>
        <v>28.694750000000003</v>
      </c>
      <c r="P85" s="42">
        <f t="shared" si="27"/>
        <v>1.6772132275429286E-2</v>
      </c>
      <c r="Q85" s="84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7">
        <v>2005</v>
      </c>
      <c r="C86" s="38">
        <v>25.524999999999999</v>
      </c>
      <c r="D86" s="39">
        <v>24.928000000000001</v>
      </c>
      <c r="E86" s="39">
        <v>25.521000000000001</v>
      </c>
      <c r="F86" s="39">
        <v>25.21</v>
      </c>
      <c r="G86" s="39">
        <v>24.481000000000002</v>
      </c>
      <c r="H86" s="39">
        <v>24.25</v>
      </c>
      <c r="I86" s="39">
        <v>24.61</v>
      </c>
      <c r="J86" s="39">
        <v>24.341999999999999</v>
      </c>
      <c r="K86" s="39">
        <v>24.09</v>
      </c>
      <c r="L86" s="39">
        <v>23.591999999999999</v>
      </c>
      <c r="M86" s="39">
        <v>23.521000000000001</v>
      </c>
      <c r="N86" s="40">
        <v>23.651</v>
      </c>
      <c r="O86" s="41">
        <f t="shared" si="26"/>
        <v>24.476749999999999</v>
      </c>
      <c r="P86" s="42">
        <f t="shared" si="27"/>
        <v>-0.14699553054130121</v>
      </c>
      <c r="Q86" s="84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7">
        <v>2006</v>
      </c>
      <c r="C87" s="38">
        <v>24.184999999999999</v>
      </c>
      <c r="D87" s="39">
        <v>24.23</v>
      </c>
      <c r="E87" s="39">
        <v>24.27</v>
      </c>
      <c r="F87" s="39">
        <v>24.097000000000001</v>
      </c>
      <c r="G87" s="39">
        <v>23.956</v>
      </c>
      <c r="H87" s="39">
        <v>23.881</v>
      </c>
      <c r="I87" s="39">
        <v>23.952000000000002</v>
      </c>
      <c r="J87" s="39">
        <v>23.933</v>
      </c>
      <c r="K87" s="39">
        <v>23.975000000000001</v>
      </c>
      <c r="L87" s="39">
        <v>23.856000000000002</v>
      </c>
      <c r="M87" s="39">
        <v>24.099</v>
      </c>
      <c r="N87" s="40">
        <v>24.449000000000002</v>
      </c>
      <c r="O87" s="41">
        <f t="shared" si="26"/>
        <v>24.073583333333335</v>
      </c>
      <c r="P87" s="42">
        <f t="shared" si="27"/>
        <v>-1.6471413348041031E-2</v>
      </c>
      <c r="Q87" s="84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7">
        <v>2007</v>
      </c>
      <c r="C88" s="38">
        <v>24.422999999999998</v>
      </c>
      <c r="D88" s="39">
        <v>24.300999999999998</v>
      </c>
      <c r="E88" s="39">
        <v>24.29</v>
      </c>
      <c r="F88" s="39">
        <v>24.085000000000001</v>
      </c>
      <c r="G88" s="39">
        <v>23.992000000000001</v>
      </c>
      <c r="H88" s="39">
        <v>23.908000000000001</v>
      </c>
      <c r="I88" s="39">
        <v>23.797999999999998</v>
      </c>
      <c r="J88" s="39">
        <v>23.628</v>
      </c>
      <c r="K88" s="39">
        <v>23.24</v>
      </c>
      <c r="L88" s="39">
        <v>22.27</v>
      </c>
      <c r="M88" s="39">
        <v>21.975000000000001</v>
      </c>
      <c r="N88" s="40">
        <v>21.692</v>
      </c>
      <c r="O88" s="41">
        <f t="shared" si="26"/>
        <v>23.466833333333337</v>
      </c>
      <c r="P88" s="42">
        <f t="shared" si="27"/>
        <v>-2.5203975311804405E-2</v>
      </c>
      <c r="Q88" s="84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7">
        <v>2008</v>
      </c>
      <c r="C89" s="38">
        <v>21.2</v>
      </c>
      <c r="D89" s="39">
        <v>20.937000000000001</v>
      </c>
      <c r="E89" s="39">
        <v>20.626000000000001</v>
      </c>
      <c r="F89" s="39">
        <v>19.933</v>
      </c>
      <c r="G89" s="39">
        <v>19.873999999999999</v>
      </c>
      <c r="H89" s="39">
        <v>19.494</v>
      </c>
      <c r="I89" s="39">
        <v>19.251999999999999</v>
      </c>
      <c r="J89" s="39">
        <v>19.216999999999999</v>
      </c>
      <c r="K89" s="39">
        <v>20.423999999999999</v>
      </c>
      <c r="L89" s="39">
        <v>22.373000000000001</v>
      </c>
      <c r="M89" s="39">
        <v>23.687000000000001</v>
      </c>
      <c r="N89" s="40">
        <v>24.353000000000002</v>
      </c>
      <c r="O89" s="41">
        <f t="shared" si="26"/>
        <v>20.947500000000002</v>
      </c>
      <c r="P89" s="42">
        <f t="shared" si="27"/>
        <v>-0.10735719206539729</v>
      </c>
      <c r="Q89" s="84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7">
        <v>2009</v>
      </c>
      <c r="C90" s="38">
        <v>23.29</v>
      </c>
      <c r="D90" s="39">
        <v>23.25</v>
      </c>
      <c r="E90" s="39">
        <v>23.98</v>
      </c>
      <c r="F90" s="39">
        <v>24.035</v>
      </c>
      <c r="G90" s="39">
        <v>23.695</v>
      </c>
      <c r="H90" s="39">
        <v>23.390999999999998</v>
      </c>
      <c r="I90" s="39">
        <v>23.395</v>
      </c>
      <c r="J90" s="39">
        <v>22.852</v>
      </c>
      <c r="K90" s="39">
        <v>21.942</v>
      </c>
      <c r="L90" s="39">
        <v>20.82</v>
      </c>
      <c r="M90" s="39">
        <v>20.460999999999999</v>
      </c>
      <c r="N90" s="40">
        <v>19.702999999999999</v>
      </c>
      <c r="O90" s="41">
        <f t="shared" si="26"/>
        <v>22.567833333333329</v>
      </c>
      <c r="P90" s="42">
        <f t="shared" si="27"/>
        <v>7.7352110434816934E-2</v>
      </c>
      <c r="Q90" s="84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7">
        <v>2010</v>
      </c>
      <c r="C91" s="38">
        <v>19.585000000000001</v>
      </c>
      <c r="D91" s="39">
        <v>19.765999999999998</v>
      </c>
      <c r="E91" s="39">
        <v>19.609000000000002</v>
      </c>
      <c r="F91" s="39">
        <v>19.350000000000001</v>
      </c>
      <c r="G91" s="39">
        <v>19.262</v>
      </c>
      <c r="H91" s="39">
        <v>20.454999999999998</v>
      </c>
      <c r="I91" s="39">
        <v>21.091999999999999</v>
      </c>
      <c r="J91" s="39">
        <v>20.859000000000002</v>
      </c>
      <c r="K91" s="39">
        <v>20.56</v>
      </c>
      <c r="L91" s="39">
        <v>20.215</v>
      </c>
      <c r="M91" s="39">
        <v>19.963000000000001</v>
      </c>
      <c r="N91" s="40">
        <v>19.975000000000001</v>
      </c>
      <c r="O91" s="41">
        <f t="shared" si="26"/>
        <v>20.057583333333334</v>
      </c>
      <c r="P91" s="42">
        <f t="shared" si="27"/>
        <v>-0.11123132482072551</v>
      </c>
      <c r="Q91" s="84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7">
        <v>2011</v>
      </c>
      <c r="C92" s="38">
        <v>19.861999999999998</v>
      </c>
      <c r="D92" s="39">
        <v>19.584</v>
      </c>
      <c r="E92" s="39">
        <v>19.334</v>
      </c>
      <c r="F92" s="39">
        <v>19.001999999999999</v>
      </c>
      <c r="G92" s="39">
        <v>18.853000000000002</v>
      </c>
      <c r="H92" s="39">
        <v>18.53</v>
      </c>
      <c r="I92" s="39">
        <v>18.457000000000001</v>
      </c>
      <c r="J92" s="39">
        <v>18.763999999999999</v>
      </c>
      <c r="K92" s="39">
        <v>19.573</v>
      </c>
      <c r="L92" s="39">
        <v>19.93</v>
      </c>
      <c r="M92" s="39">
        <v>19.901</v>
      </c>
      <c r="N92" s="40">
        <v>19.97</v>
      </c>
      <c r="O92" s="41">
        <f t="shared" si="26"/>
        <v>19.313333333333336</v>
      </c>
      <c r="P92" s="42">
        <f t="shared" si="27"/>
        <v>-3.7105666601576215E-2</v>
      </c>
      <c r="Q92" s="84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7">
        <v>2012</v>
      </c>
      <c r="C93" s="38">
        <v>19.625</v>
      </c>
      <c r="D93" s="39">
        <v>19.436</v>
      </c>
      <c r="E93" s="39">
        <v>19.527999999999999</v>
      </c>
      <c r="F93" s="39">
        <v>19.681000000000001</v>
      </c>
      <c r="G93" s="39">
        <v>20.228000000000002</v>
      </c>
      <c r="H93" s="39">
        <v>21.687999999999999</v>
      </c>
      <c r="I93" s="39">
        <v>21.795999999999999</v>
      </c>
      <c r="J93" s="39">
        <v>21.31</v>
      </c>
      <c r="K93" s="39">
        <v>21.218</v>
      </c>
      <c r="L93" s="39">
        <v>20.134</v>
      </c>
      <c r="M93" s="39">
        <v>19.773</v>
      </c>
      <c r="N93" s="40">
        <v>19.303999999999998</v>
      </c>
      <c r="O93" s="41">
        <f t="shared" si="26"/>
        <v>20.310083333333335</v>
      </c>
      <c r="P93" s="42">
        <f t="shared" si="27"/>
        <v>5.1609423541594701E-2</v>
      </c>
      <c r="Q93" s="84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7">
        <v>2013</v>
      </c>
      <c r="C94" s="38">
        <v>19.327999999999999</v>
      </c>
      <c r="D94" s="39">
        <v>19.113</v>
      </c>
      <c r="E94" s="39">
        <v>19</v>
      </c>
      <c r="F94" s="39">
        <v>18.986999999999998</v>
      </c>
      <c r="G94" s="39">
        <v>19.257000000000001</v>
      </c>
      <c r="H94" s="39">
        <v>20.675000000000001</v>
      </c>
      <c r="I94" s="39">
        <v>21.073</v>
      </c>
      <c r="J94" s="39">
        <v>21.885000000000002</v>
      </c>
      <c r="K94" s="39">
        <v>22.145</v>
      </c>
      <c r="L94" s="39">
        <v>21.64</v>
      </c>
      <c r="M94" s="39">
        <v>21.347999999999999</v>
      </c>
      <c r="N94" s="40">
        <v>21.363</v>
      </c>
      <c r="O94" s="41">
        <f t="shared" si="26"/>
        <v>20.484500000000001</v>
      </c>
      <c r="P94" s="42">
        <f t="shared" ref="P94:P103" si="28">O94/O93-1</f>
        <v>8.5876883813869043E-3</v>
      </c>
      <c r="Q94" s="84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7">
        <v>2014</v>
      </c>
      <c r="C95" s="38">
        <v>21.655999999999999</v>
      </c>
      <c r="D95" s="39">
        <v>22.373999999999999</v>
      </c>
      <c r="E95" s="39">
        <v>22.635000000000002</v>
      </c>
      <c r="F95" s="39">
        <v>22.853000000000002</v>
      </c>
      <c r="G95" s="39">
        <v>23.021999999999998</v>
      </c>
      <c r="H95" s="39">
        <v>22.956</v>
      </c>
      <c r="I95" s="39">
        <v>23.003</v>
      </c>
      <c r="J95" s="39">
        <v>23.72</v>
      </c>
      <c r="K95" s="39">
        <v>24.318999999999999</v>
      </c>
      <c r="L95" s="39">
        <v>24.315999999999999</v>
      </c>
      <c r="M95" s="39">
        <v>23.992999999999999</v>
      </c>
      <c r="N95" s="40">
        <v>24.106999999999999</v>
      </c>
      <c r="O95" s="41">
        <f t="shared" si="26"/>
        <v>23.246166666666664</v>
      </c>
      <c r="P95" s="42">
        <f t="shared" si="28"/>
        <v>0.13481738224836648</v>
      </c>
      <c r="Q95" s="84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7">
        <v>2015</v>
      </c>
      <c r="C96" s="38">
        <v>24.47</v>
      </c>
      <c r="D96" s="39">
        <v>24.574000000000002</v>
      </c>
      <c r="E96" s="39">
        <v>25.286000000000001</v>
      </c>
      <c r="F96" s="39">
        <v>26.350999999999999</v>
      </c>
      <c r="G96" s="39">
        <v>26.664999999999999</v>
      </c>
      <c r="H96" s="39">
        <v>26.847999999999999</v>
      </c>
      <c r="I96" s="39">
        <v>27.734999999999999</v>
      </c>
      <c r="J96" s="39">
        <v>28.506</v>
      </c>
      <c r="K96" s="39">
        <v>28.84</v>
      </c>
      <c r="L96" s="39">
        <v>29.338999999999999</v>
      </c>
      <c r="M96" s="39">
        <v>29.53</v>
      </c>
      <c r="N96" s="40">
        <v>29.78</v>
      </c>
      <c r="O96" s="41">
        <f t="shared" si="26"/>
        <v>27.326999999999998</v>
      </c>
      <c r="P96" s="42">
        <f t="shared" si="28"/>
        <v>0.17554865676778264</v>
      </c>
      <c r="Q96" s="84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7">
        <v>2016</v>
      </c>
      <c r="C97" s="38">
        <v>30.818000000000001</v>
      </c>
      <c r="D97" s="39">
        <v>31.751999999999999</v>
      </c>
      <c r="E97" s="39">
        <v>32.162999999999997</v>
      </c>
      <c r="F97" s="39">
        <v>31.515000000000001</v>
      </c>
      <c r="G97" s="39">
        <v>31.41</v>
      </c>
      <c r="H97" s="39">
        <v>30.777999999999999</v>
      </c>
      <c r="I97" s="39">
        <v>30.036999999999999</v>
      </c>
      <c r="J97" s="39">
        <v>28.890999999999998</v>
      </c>
      <c r="K97" s="39">
        <v>28.78</v>
      </c>
      <c r="L97" s="39">
        <v>28.151</v>
      </c>
      <c r="M97" s="39">
        <v>28.731999999999999</v>
      </c>
      <c r="N97" s="40">
        <v>28.84</v>
      </c>
      <c r="O97" s="41">
        <f t="shared" si="26"/>
        <v>30.155583333333336</v>
      </c>
      <c r="P97" s="42">
        <f t="shared" si="28"/>
        <v>0.10350873982996078</v>
      </c>
      <c r="Q97" s="84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206">
        <v>2017</v>
      </c>
      <c r="C98" s="38">
        <v>28.611000000000001</v>
      </c>
      <c r="D98" s="39">
        <v>28.462</v>
      </c>
      <c r="E98" s="39">
        <v>28.416</v>
      </c>
      <c r="F98" s="39">
        <v>28.402999999999999</v>
      </c>
      <c r="G98" s="39">
        <v>28.131</v>
      </c>
      <c r="H98" s="39">
        <v>28.38</v>
      </c>
      <c r="I98" s="39">
        <v>28.640999999999998</v>
      </c>
      <c r="J98" s="39">
        <v>28.673999999999999</v>
      </c>
      <c r="K98" s="39">
        <v>28.911000000000001</v>
      </c>
      <c r="L98" s="39">
        <v>29.349</v>
      </c>
      <c r="M98" s="39">
        <v>29.231000000000002</v>
      </c>
      <c r="N98" s="40">
        <v>28.88</v>
      </c>
      <c r="O98" s="41">
        <f t="shared" si="26"/>
        <v>28.674083333333332</v>
      </c>
      <c r="P98" s="42">
        <f t="shared" si="28"/>
        <v>-4.9128547228678099E-2</v>
      </c>
      <c r="Q98" s="84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206">
        <v>2018</v>
      </c>
      <c r="C99" s="38">
        <v>28.529</v>
      </c>
      <c r="D99" s="39">
        <v>28.52</v>
      </c>
      <c r="E99" s="39">
        <v>28.391999999999999</v>
      </c>
      <c r="F99" s="39">
        <v>28.317</v>
      </c>
      <c r="G99" s="39">
        <v>30.562000000000001</v>
      </c>
      <c r="H99" s="39">
        <v>31.366</v>
      </c>
      <c r="I99" s="39">
        <v>31.15</v>
      </c>
      <c r="J99" s="39">
        <v>31.326000000000001</v>
      </c>
      <c r="K99" s="39">
        <v>32.866</v>
      </c>
      <c r="L99" s="39">
        <v>32.886000000000003</v>
      </c>
      <c r="M99" s="39">
        <v>32.536999999999999</v>
      </c>
      <c r="N99" s="40">
        <v>32.213999999999999</v>
      </c>
      <c r="O99" s="41">
        <f t="shared" si="26"/>
        <v>30.722083333333334</v>
      </c>
      <c r="P99" s="42">
        <f t="shared" si="28"/>
        <v>7.1423381741351877E-2</v>
      </c>
      <c r="Q99" s="84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6">
        <v>2019</v>
      </c>
      <c r="C100" s="38">
        <v>32.597999999999999</v>
      </c>
      <c r="D100" s="39">
        <v>32.61</v>
      </c>
      <c r="E100" s="39">
        <v>33.313000000000002</v>
      </c>
      <c r="F100" s="39">
        <v>34.136000000000003</v>
      </c>
      <c r="G100" s="39">
        <v>35.162999999999997</v>
      </c>
      <c r="H100" s="39">
        <v>35.25</v>
      </c>
      <c r="I100" s="39">
        <v>34.823</v>
      </c>
      <c r="J100" s="39">
        <v>35.954000000000001</v>
      </c>
      <c r="K100" s="39">
        <v>36.691000000000003</v>
      </c>
      <c r="L100" s="39">
        <v>37.301000000000002</v>
      </c>
      <c r="M100" s="39">
        <v>37.639000000000003</v>
      </c>
      <c r="N100" s="40">
        <v>37.585000000000001</v>
      </c>
      <c r="O100" s="41">
        <f t="shared" si="26"/>
        <v>35.255249999999997</v>
      </c>
      <c r="P100" s="42">
        <f t="shared" si="28"/>
        <v>0.1475540124503274</v>
      </c>
      <c r="Q100" s="84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6">
        <v>2020</v>
      </c>
      <c r="C101" s="38">
        <v>37.591999999999999</v>
      </c>
      <c r="D101" s="39">
        <v>38.043999999999997</v>
      </c>
      <c r="E101" s="39">
        <v>43.343000000000004</v>
      </c>
      <c r="F101" s="39">
        <v>43.390999999999998</v>
      </c>
      <c r="G101" s="39">
        <v>43.43</v>
      </c>
      <c r="H101" s="39">
        <v>42.576000000000001</v>
      </c>
      <c r="I101" s="39">
        <v>42.576000000000001</v>
      </c>
      <c r="J101" s="39">
        <v>42.667000000000002</v>
      </c>
      <c r="K101" s="39">
        <v>42.491</v>
      </c>
      <c r="L101" s="39">
        <v>42.686999999999998</v>
      </c>
      <c r="M101" s="39">
        <v>42.73</v>
      </c>
      <c r="N101" s="40">
        <v>42.396000000000001</v>
      </c>
      <c r="O101" s="41">
        <f t="shared" si="26"/>
        <v>41.993583333333341</v>
      </c>
      <c r="P101" s="42">
        <f t="shared" si="28"/>
        <v>0.19112992627575598</v>
      </c>
      <c r="Q101" s="84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6">
        <v>2021</v>
      </c>
      <c r="C102" s="38">
        <v>42.29</v>
      </c>
      <c r="D102" s="39">
        <v>42.73</v>
      </c>
      <c r="E102" s="39">
        <v>44.264000000000003</v>
      </c>
      <c r="F102" s="39">
        <v>44.09</v>
      </c>
      <c r="G102" s="39">
        <v>43.984999999999999</v>
      </c>
      <c r="H102" s="39">
        <v>43.6</v>
      </c>
      <c r="I102" s="39">
        <v>43.832999999999998</v>
      </c>
      <c r="J102" s="39">
        <v>43.22</v>
      </c>
      <c r="K102" s="39">
        <v>42.695</v>
      </c>
      <c r="L102" s="39">
        <v>43.616</v>
      </c>
      <c r="M102" s="39">
        <v>43.99</v>
      </c>
      <c r="N102" s="40">
        <v>44.325000000000003</v>
      </c>
      <c r="O102" s="41">
        <f t="shared" si="26"/>
        <v>43.553166666666669</v>
      </c>
      <c r="P102" s="42">
        <f t="shared" si="28"/>
        <v>3.7138610462312593E-2</v>
      </c>
      <c r="Q102" s="84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6">
        <v>2022</v>
      </c>
      <c r="C103" s="38">
        <v>44.515000000000001</v>
      </c>
      <c r="D103" s="39">
        <v>43.179000000000002</v>
      </c>
      <c r="E103" s="39">
        <v>42.243000000000002</v>
      </c>
      <c r="F103" s="39">
        <v>41.149000000000001</v>
      </c>
      <c r="G103" s="39">
        <v>40.758000000000003</v>
      </c>
      <c r="H103" s="39">
        <v>39.78</v>
      </c>
      <c r="I103" s="39">
        <v>41.09</v>
      </c>
      <c r="J103" s="39">
        <v>40.46</v>
      </c>
      <c r="K103" s="39">
        <v>40.94</v>
      </c>
      <c r="L103" s="39">
        <v>41.06</v>
      </c>
      <c r="M103" s="39">
        <v>39.747</v>
      </c>
      <c r="N103" s="40">
        <v>39.090000000000003</v>
      </c>
      <c r="O103" s="41">
        <f t="shared" si="26"/>
        <v>41.16758333333334</v>
      </c>
      <c r="P103" s="42">
        <f t="shared" si="28"/>
        <v>-5.4774050107339933E-2</v>
      </c>
      <c r="Q103" s="84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6">
        <v>2023</v>
      </c>
      <c r="C104" s="38">
        <v>39.386000000000003</v>
      </c>
      <c r="D104" s="39">
        <v>39.027999999999999</v>
      </c>
      <c r="E104" s="39">
        <v>39.112000000000002</v>
      </c>
      <c r="F104" s="39">
        <v>38.78</v>
      </c>
      <c r="G104" s="39">
        <v>38.860999999999997</v>
      </c>
      <c r="H104" s="39">
        <v>38.200000000000003</v>
      </c>
      <c r="I104" s="39">
        <v>37.89</v>
      </c>
      <c r="J104" s="39">
        <v>37.850999999999999</v>
      </c>
      <c r="K104" s="39">
        <v>38.146000000000001</v>
      </c>
      <c r="L104" s="39">
        <v>39.744999999999997</v>
      </c>
      <c r="M104" s="39">
        <v>39.554047619047623</v>
      </c>
      <c r="N104" s="40">
        <v>39.302999999999997</v>
      </c>
      <c r="O104" s="41">
        <f t="shared" ref="O104" si="29">AVERAGE(C104:N104)</f>
        <v>38.821337301587306</v>
      </c>
      <c r="P104" s="42">
        <f t="shared" ref="P104" si="30">O104/O103-1</f>
        <v>-5.6992561665534569E-2</v>
      </c>
      <c r="Q104" s="84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5" customHeight="1">
      <c r="A105" s="22"/>
      <c r="B105" s="206">
        <v>2024</v>
      </c>
      <c r="C105" s="38">
        <v>39.139000000000003</v>
      </c>
      <c r="D105" s="39">
        <v>39.109000000000002</v>
      </c>
      <c r="E105" s="39">
        <v>38.420999999999999</v>
      </c>
      <c r="F105" s="39">
        <v>38.478999999999999</v>
      </c>
      <c r="G105" s="39">
        <v>38.515999999999998</v>
      </c>
      <c r="H105" s="39">
        <v>39.268000000000001</v>
      </c>
      <c r="I105" s="39">
        <v>40.161999999999999</v>
      </c>
      <c r="J105" s="39">
        <v>40.334000000000003</v>
      </c>
      <c r="K105" s="39">
        <v>41.1</v>
      </c>
      <c r="L105" s="39">
        <v>41.55</v>
      </c>
      <c r="M105" s="39">
        <v>42.470999999999997</v>
      </c>
      <c r="N105" s="40">
        <v>44.009</v>
      </c>
      <c r="O105" s="41">
        <f t="shared" ref="O105" si="31">AVERAGE(C105:N105)</f>
        <v>40.213166666666673</v>
      </c>
      <c r="P105" s="42">
        <f t="shared" ref="P105" si="32">O105/O104-1</f>
        <v>3.5852174649904756E-2</v>
      </c>
      <c r="Q105" s="84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5" customHeight="1" thickBot="1">
      <c r="A106" s="22"/>
      <c r="B106" s="207">
        <v>2025</v>
      </c>
      <c r="C106" s="47">
        <v>43.69</v>
      </c>
      <c r="D106" s="48">
        <v>43.116999999999997</v>
      </c>
      <c r="E106" s="48">
        <v>42.271000000000001</v>
      </c>
      <c r="F106" s="48">
        <v>42.304000000000002</v>
      </c>
      <c r="G106" s="48">
        <v>41.682000000000002</v>
      </c>
      <c r="H106" s="48">
        <v>40.853999999999999</v>
      </c>
      <c r="I106" s="48">
        <v>40.246000000000002</v>
      </c>
      <c r="J106" s="48">
        <v>40.042999999999999</v>
      </c>
      <c r="K106" s="48">
        <v>39.97</v>
      </c>
      <c r="L106" s="48"/>
      <c r="M106" s="48"/>
      <c r="N106" s="49"/>
      <c r="O106" s="41"/>
      <c r="P106" s="42"/>
      <c r="Q106" s="84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4.4" customHeight="1">
      <c r="A107" s="6"/>
      <c r="B107" s="87" t="s">
        <v>28</v>
      </c>
      <c r="C107" s="52"/>
      <c r="D107" s="52"/>
      <c r="E107" s="52"/>
      <c r="F107" s="7"/>
      <c r="G107" s="88"/>
      <c r="H107" s="7"/>
      <c r="I107" s="52"/>
      <c r="J107" s="52"/>
      <c r="K107" s="52"/>
      <c r="L107" s="52"/>
      <c r="M107" s="78"/>
      <c r="N107" s="52"/>
      <c r="O107" s="52"/>
      <c r="P107" s="52"/>
      <c r="Q107" s="66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4.4" customHeight="1">
      <c r="A108" s="6"/>
      <c r="B108" s="7"/>
      <c r="C108" s="7"/>
      <c r="D108" s="7"/>
      <c r="E108" s="298"/>
      <c r="F108" s="7"/>
      <c r="G108" s="7"/>
      <c r="H108" s="7"/>
      <c r="I108" s="7"/>
      <c r="J108" s="89"/>
      <c r="K108" s="7"/>
      <c r="L108" s="7"/>
      <c r="M108" s="7"/>
      <c r="N108" s="7"/>
      <c r="O108" s="7"/>
      <c r="P108" s="7"/>
      <c r="Q108" s="66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4.4" customHeight="1">
      <c r="A109" s="6"/>
      <c r="B109" s="7"/>
      <c r="C109" s="7"/>
      <c r="D109" s="7"/>
      <c r="E109" s="7"/>
      <c r="F109" s="7"/>
      <c r="G109" s="7"/>
      <c r="H109" s="7"/>
      <c r="I109" s="7"/>
      <c r="J109" s="89"/>
      <c r="K109" s="7"/>
      <c r="L109" s="7"/>
      <c r="M109" s="7"/>
      <c r="N109" s="7"/>
      <c r="O109" s="7"/>
      <c r="P109" s="7"/>
      <c r="Q109" s="66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7"/>
      <c r="C110" s="7"/>
      <c r="D110" s="7"/>
      <c r="E110" s="7"/>
      <c r="F110" s="7"/>
      <c r="G110" s="7"/>
      <c r="H110" s="7"/>
      <c r="I110" s="7"/>
      <c r="J110" s="89"/>
      <c r="K110" s="7"/>
      <c r="L110" s="7"/>
      <c r="M110" s="7"/>
      <c r="N110" s="7"/>
      <c r="O110" s="7"/>
      <c r="P110" s="7"/>
      <c r="Q110" s="66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7"/>
      <c r="F111" s="7"/>
      <c r="G111" s="7"/>
      <c r="H111" s="7"/>
      <c r="I111" s="7"/>
      <c r="J111" s="89"/>
      <c r="K111" s="7"/>
      <c r="L111" s="7"/>
      <c r="M111" s="7"/>
      <c r="N111" s="7"/>
      <c r="O111" s="7"/>
      <c r="P111" s="7"/>
      <c r="Q111" s="66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9"/>
      <c r="K112" s="7"/>
      <c r="L112" s="7"/>
      <c r="M112" s="7"/>
      <c r="N112" s="7"/>
      <c r="O112" s="66"/>
      <c r="P112" s="7"/>
      <c r="Q112" s="7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9"/>
      <c r="K113" s="7"/>
      <c r="L113" s="7"/>
      <c r="M113" s="7"/>
      <c r="N113" s="7"/>
      <c r="O113" s="7"/>
      <c r="P113" s="7"/>
      <c r="Q113" s="7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9"/>
      <c r="K114" s="7"/>
      <c r="L114" s="7"/>
      <c r="M114" s="7"/>
      <c r="N114" s="7"/>
      <c r="O114" s="7"/>
      <c r="P114" s="7"/>
      <c r="Q114" s="7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90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2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3"/>
    </row>
  </sheetData>
  <mergeCells count="7">
    <mergeCell ref="F80:J80"/>
    <mergeCell ref="E10:M10"/>
    <mergeCell ref="E45:M45"/>
    <mergeCell ref="W10:AE10"/>
    <mergeCell ref="W45:AE45"/>
    <mergeCell ref="B44:R44"/>
    <mergeCell ref="B79:R79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88:O103 O13:O34 O48:O70 O83:O87 AG20:AG33 AG12:AG19 AG48:AG70 AG34:AH34 O104:O105 O35:P35 S35:T35 AG3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7"/>
  <sheetViews>
    <sheetView showGridLines="0" topLeftCell="A24" workbookViewId="0">
      <selection activeCell="L28" sqref="L28:M28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4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5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5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5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5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5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5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5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5"/>
    </row>
    <row r="10" spans="1:17" ht="15" customHeight="1">
      <c r="A10" s="6"/>
      <c r="B10" s="7"/>
      <c r="C10" s="7"/>
      <c r="D10" s="7"/>
      <c r="E10" s="71"/>
      <c r="F10" s="324" t="s">
        <v>29</v>
      </c>
      <c r="G10" s="325"/>
      <c r="H10" s="325"/>
      <c r="I10" s="325"/>
      <c r="J10" s="326"/>
      <c r="K10" s="72"/>
      <c r="L10" s="12" t="s">
        <v>2</v>
      </c>
      <c r="M10" s="7"/>
      <c r="N10" s="7"/>
      <c r="O10" s="7"/>
      <c r="P10" s="7"/>
      <c r="Q10" s="95"/>
    </row>
    <row r="11" spans="1:17" ht="15" customHeight="1">
      <c r="A11" s="6"/>
      <c r="B11" s="7"/>
      <c r="C11" s="7"/>
      <c r="D11" s="7"/>
      <c r="E11" s="7"/>
      <c r="F11" s="52"/>
      <c r="G11" s="20"/>
      <c r="H11" s="20"/>
      <c r="I11" s="20"/>
      <c r="J11" s="52"/>
      <c r="K11" s="7"/>
      <c r="L11" s="7"/>
      <c r="M11" s="7"/>
      <c r="N11" s="7"/>
      <c r="O11" s="7"/>
      <c r="P11" s="7"/>
      <c r="Q11" s="95"/>
    </row>
    <row r="12" spans="1:17" ht="15" customHeight="1">
      <c r="A12" s="6"/>
      <c r="B12" s="7"/>
      <c r="C12" s="7"/>
      <c r="D12" s="7"/>
      <c r="E12" s="7"/>
      <c r="F12" s="71"/>
      <c r="G12" s="327" t="s">
        <v>30</v>
      </c>
      <c r="H12" s="328"/>
      <c r="I12" s="329"/>
      <c r="J12" s="72"/>
      <c r="K12" s="7"/>
      <c r="L12" s="7"/>
      <c r="M12" s="7"/>
      <c r="N12" s="7"/>
      <c r="O12" s="7"/>
      <c r="P12" s="7"/>
      <c r="Q12" s="95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5"/>
    </row>
    <row r="14" spans="1:17" ht="29.25" customHeight="1">
      <c r="A14" s="22"/>
      <c r="B14" s="96" t="s">
        <v>4</v>
      </c>
      <c r="C14" s="24" t="s">
        <v>5</v>
      </c>
      <c r="D14" s="25" t="s">
        <v>6</v>
      </c>
      <c r="E14" s="25" t="s">
        <v>7</v>
      </c>
      <c r="F14" s="25" t="s">
        <v>8</v>
      </c>
      <c r="G14" s="25" t="s">
        <v>9</v>
      </c>
      <c r="H14" s="25" t="s">
        <v>10</v>
      </c>
      <c r="I14" s="25" t="s">
        <v>11</v>
      </c>
      <c r="J14" s="25" t="s">
        <v>12</v>
      </c>
      <c r="K14" s="25" t="s">
        <v>13</v>
      </c>
      <c r="L14" s="25" t="s">
        <v>14</v>
      </c>
      <c r="M14" s="25" t="s">
        <v>15</v>
      </c>
      <c r="N14" s="26" t="s">
        <v>16</v>
      </c>
      <c r="O14" s="97" t="s">
        <v>31</v>
      </c>
      <c r="P14" s="26" t="s">
        <v>32</v>
      </c>
      <c r="Q14" s="76"/>
    </row>
    <row r="15" spans="1:17" ht="14.4" customHeight="1">
      <c r="A15" s="22"/>
      <c r="B15" s="30">
        <v>2012</v>
      </c>
      <c r="C15" s="98">
        <v>3.5796174770751601E-2</v>
      </c>
      <c r="D15" s="99">
        <v>3.7037614194170898E-2</v>
      </c>
      <c r="E15" s="99">
        <v>3.8358175827051998E-2</v>
      </c>
      <c r="F15" s="99">
        <v>3.83347183876869E-2</v>
      </c>
      <c r="G15" s="99">
        <v>3.83398766062297E-2</v>
      </c>
      <c r="H15" s="99">
        <v>3.8223088428491397E-2</v>
      </c>
      <c r="I15" s="99">
        <v>3.7676289689193697E-2</v>
      </c>
      <c r="J15" s="99">
        <v>3.7198806446451002E-2</v>
      </c>
      <c r="K15" s="99">
        <v>3.6397794031663502E-2</v>
      </c>
      <c r="L15" s="99">
        <v>3.6648371358421999E-2</v>
      </c>
      <c r="M15" s="99">
        <v>3.55304327271148E-2</v>
      </c>
      <c r="N15" s="100">
        <v>3.5603539744379097E-2</v>
      </c>
      <c r="O15" s="101">
        <v>3.7031763456253801E-2</v>
      </c>
      <c r="P15" s="102"/>
      <c r="Q15" s="103"/>
    </row>
    <row r="16" spans="1:17" ht="14.4" customHeight="1">
      <c r="A16" s="22"/>
      <c r="B16" s="37">
        <v>2013</v>
      </c>
      <c r="C16" s="104">
        <v>3.6288317298224501E-2</v>
      </c>
      <c r="D16" s="105">
        <v>3.72902899122078E-2</v>
      </c>
      <c r="E16" s="105">
        <v>3.8544455582634501E-2</v>
      </c>
      <c r="F16" s="105">
        <v>3.8421909513423301E-2</v>
      </c>
      <c r="G16" s="105">
        <v>3.8145414853661498E-2</v>
      </c>
      <c r="H16" s="105">
        <v>3.7312759399958699E-2</v>
      </c>
      <c r="I16" s="105">
        <v>3.7399445466680899E-2</v>
      </c>
      <c r="J16" s="105">
        <v>3.6527945399695699E-2</v>
      </c>
      <c r="K16" s="105">
        <v>3.6788778297918101E-2</v>
      </c>
      <c r="L16" s="105">
        <v>3.5948186981993903E-2</v>
      </c>
      <c r="M16" s="105">
        <v>3.5807391723338702E-2</v>
      </c>
      <c r="N16" s="106">
        <v>3.5733648907098702E-2</v>
      </c>
      <c r="O16" s="107">
        <v>3.6919172654791603E-2</v>
      </c>
      <c r="P16" s="42">
        <f t="shared" ref="P16:P24" si="0">O16/O15-1</f>
        <v>-3.0403845497447568E-3</v>
      </c>
      <c r="Q16" s="103"/>
    </row>
    <row r="17" spans="1:19" ht="14.4" customHeight="1">
      <c r="A17" s="22"/>
      <c r="B17" s="37">
        <v>2014</v>
      </c>
      <c r="C17" s="104">
        <v>3.64910222298526E-2</v>
      </c>
      <c r="D17" s="105">
        <v>3.7966868829009702E-2</v>
      </c>
      <c r="E17" s="105">
        <v>3.8558014928275999E-2</v>
      </c>
      <c r="F17" s="105">
        <v>3.8855878957783301E-2</v>
      </c>
      <c r="G17" s="105">
        <v>3.8321652598785602E-2</v>
      </c>
      <c r="H17" s="105">
        <v>3.8396867610976097E-2</v>
      </c>
      <c r="I17" s="105">
        <v>3.7404763591441299E-2</v>
      </c>
      <c r="J17" s="105">
        <v>3.6688853254171497E-2</v>
      </c>
      <c r="K17" s="105">
        <v>3.6461146616984297E-2</v>
      </c>
      <c r="L17" s="105">
        <v>3.6134234024656597E-2</v>
      </c>
      <c r="M17" s="105">
        <v>3.6444661784826297E-2</v>
      </c>
      <c r="N17" s="106">
        <v>3.6916516650921299E-2</v>
      </c>
      <c r="O17" s="107">
        <v>3.7261722369194901E-2</v>
      </c>
      <c r="P17" s="42">
        <f t="shared" si="0"/>
        <v>9.2783691987430306E-3</v>
      </c>
      <c r="Q17" s="103"/>
    </row>
    <row r="18" spans="1:19" ht="14.4" customHeight="1">
      <c r="A18" s="22"/>
      <c r="B18" s="199" t="s">
        <v>33</v>
      </c>
      <c r="C18" s="104">
        <v>3.7133287243522203E-2</v>
      </c>
      <c r="D18" s="105">
        <v>3.7498627941266502E-2</v>
      </c>
      <c r="E18" s="105">
        <v>3.8605771230139502E-2</v>
      </c>
      <c r="F18" s="105">
        <v>3.9585440640588901E-2</v>
      </c>
      <c r="G18" s="105">
        <v>3.9045765853379599E-2</v>
      </c>
      <c r="H18" s="105">
        <v>3.8547358369020998E-2</v>
      </c>
      <c r="I18" s="105">
        <v>3.7943885692989197E-2</v>
      </c>
      <c r="J18" s="105">
        <v>3.7407004280133903E-2</v>
      </c>
      <c r="K18" s="105">
        <v>3.6135486648229499E-2</v>
      </c>
      <c r="L18" s="105">
        <v>3.5904060675028202E-2</v>
      </c>
      <c r="M18" s="105">
        <v>3.6136426427680501E-2</v>
      </c>
      <c r="N18" s="106">
        <v>3.6214304164559098E-2</v>
      </c>
      <c r="O18" s="107">
        <v>3.7445320398831701E-2</v>
      </c>
      <c r="P18" s="42">
        <f t="shared" si="0"/>
        <v>4.9272555846366917E-3</v>
      </c>
      <c r="Q18" s="103"/>
    </row>
    <row r="19" spans="1:19" ht="14.4" customHeight="1">
      <c r="A19" s="22"/>
      <c r="B19" s="199" t="s">
        <v>34</v>
      </c>
      <c r="C19" s="104">
        <v>3.68789712204955E-2</v>
      </c>
      <c r="D19" s="105">
        <v>3.7586079667827198E-2</v>
      </c>
      <c r="E19" s="105">
        <v>3.92981184334142E-2</v>
      </c>
      <c r="F19" s="105">
        <v>4.0670079047558899E-2</v>
      </c>
      <c r="G19" s="105">
        <v>3.99061468938013E-2</v>
      </c>
      <c r="H19" s="105">
        <v>3.9386025519797398E-2</v>
      </c>
      <c r="I19" s="105">
        <v>3.8910933826431397E-2</v>
      </c>
      <c r="J19" s="105">
        <v>3.6811999999999998E-2</v>
      </c>
      <c r="K19" s="105">
        <v>3.7234428511228199E-2</v>
      </c>
      <c r="L19" s="105">
        <v>3.6168997494555898E-2</v>
      </c>
      <c r="M19" s="105">
        <v>3.56652635379653E-2</v>
      </c>
      <c r="N19" s="106">
        <v>3.6428317054760198E-2</v>
      </c>
      <c r="O19" s="107">
        <v>3.7749600808042197E-2</v>
      </c>
      <c r="P19" s="42">
        <f t="shared" si="0"/>
        <v>8.1259929403618703E-3</v>
      </c>
      <c r="Q19" s="103"/>
    </row>
    <row r="20" spans="1:19" ht="14.4" customHeight="1">
      <c r="A20" s="22"/>
      <c r="B20" s="199" t="s">
        <v>35</v>
      </c>
      <c r="C20" s="104">
        <v>3.7103205319530798E-2</v>
      </c>
      <c r="D20" s="105">
        <v>3.83020441934716E-2</v>
      </c>
      <c r="E20" s="105">
        <v>3.8643245509654603E-2</v>
      </c>
      <c r="F20" s="105">
        <v>3.9275763276752002E-2</v>
      </c>
      <c r="G20" s="105">
        <v>3.9581999999999999E-2</v>
      </c>
      <c r="H20" s="105">
        <v>3.8579279580492502E-2</v>
      </c>
      <c r="I20" s="105">
        <v>3.8020166593852198E-2</v>
      </c>
      <c r="J20" s="105">
        <v>3.7095999999999997E-2</v>
      </c>
      <c r="K20" s="105">
        <v>3.7468909359508001E-2</v>
      </c>
      <c r="L20" s="105">
        <v>3.68089009845406E-2</v>
      </c>
      <c r="M20" s="105">
        <v>3.5943881043044003E-2</v>
      </c>
      <c r="N20" s="106">
        <v>3.6488033689386003E-2</v>
      </c>
      <c r="O20" s="107">
        <v>3.7701911037253198E-2</v>
      </c>
      <c r="P20" s="42">
        <f t="shared" si="0"/>
        <v>-1.2633185455788176E-3</v>
      </c>
      <c r="Q20" s="103"/>
    </row>
    <row r="21" spans="1:19" ht="14.4" customHeight="1">
      <c r="A21" s="22"/>
      <c r="B21" s="199" t="s">
        <v>36</v>
      </c>
      <c r="C21" s="104">
        <v>3.68441489045662E-2</v>
      </c>
      <c r="D21" s="105">
        <v>3.74633333333333E-2</v>
      </c>
      <c r="E21" s="105">
        <v>3.9144947998788197E-2</v>
      </c>
      <c r="F21" s="105">
        <v>3.8966457204758699E-2</v>
      </c>
      <c r="G21" s="105">
        <v>3.8774207974498598E-2</v>
      </c>
      <c r="H21" s="105">
        <v>3.88741506115792E-2</v>
      </c>
      <c r="I21" s="105">
        <v>3.8881202960293501E-2</v>
      </c>
      <c r="J21" s="105">
        <v>3.8053759316991898E-2</v>
      </c>
      <c r="K21" s="105">
        <v>3.7414030875804902E-2</v>
      </c>
      <c r="L21" s="105">
        <v>3.7168883423880798E-2</v>
      </c>
      <c r="M21" s="105">
        <v>3.6710262631145997E-2</v>
      </c>
      <c r="N21" s="106">
        <v>3.7182470098506899E-2</v>
      </c>
      <c r="O21" s="107">
        <v>3.7876508382417101E-2</v>
      </c>
      <c r="P21" s="42">
        <f t="shared" si="0"/>
        <v>4.6309945665985452E-3</v>
      </c>
      <c r="Q21" s="103"/>
    </row>
    <row r="22" spans="1:19" ht="14.4" customHeight="1">
      <c r="A22" s="22"/>
      <c r="B22" s="199" t="s">
        <v>37</v>
      </c>
      <c r="C22" s="104">
        <v>3.7683616746510502E-2</v>
      </c>
      <c r="D22" s="105">
        <v>3.8352598519981802E-2</v>
      </c>
      <c r="E22" s="105">
        <v>3.9029561524066697E-2</v>
      </c>
      <c r="F22" s="105">
        <v>3.9101103372454003E-2</v>
      </c>
      <c r="G22" s="105">
        <v>3.9751940966324499E-2</v>
      </c>
      <c r="H22" s="105">
        <v>3.9086805214859202E-2</v>
      </c>
      <c r="I22" s="105">
        <v>3.81506840866234E-2</v>
      </c>
      <c r="J22" s="105">
        <v>3.7679358512912098E-2</v>
      </c>
      <c r="K22" s="105">
        <v>3.7240046314753403E-2</v>
      </c>
      <c r="L22" s="105">
        <v>3.7422572141484499E-2</v>
      </c>
      <c r="M22" s="105">
        <v>3.65926430628895E-2</v>
      </c>
      <c r="N22" s="106">
        <v>3.7538722601674103E-2</v>
      </c>
      <c r="O22" s="107">
        <v>3.78565751172001E-2</v>
      </c>
      <c r="P22" s="42">
        <f t="shared" si="0"/>
        <v>-5.262698719677994E-4</v>
      </c>
      <c r="Q22" s="103"/>
    </row>
    <row r="23" spans="1:19" ht="14.4" customHeight="1">
      <c r="A23" s="22"/>
      <c r="B23" s="199" t="s">
        <v>38</v>
      </c>
      <c r="C23" s="104">
        <v>3.7397495969651799E-2</v>
      </c>
      <c r="D23" s="105">
        <v>3.8014290269062799E-2</v>
      </c>
      <c r="E23" s="105">
        <v>3.9239678370474901E-2</v>
      </c>
      <c r="F23" s="105">
        <v>3.96176992148594E-2</v>
      </c>
      <c r="G23" s="105">
        <v>3.9949612633145302E-2</v>
      </c>
      <c r="H23" s="105">
        <v>3.8807068701470597E-2</v>
      </c>
      <c r="I23" s="105">
        <v>3.8046104249469803E-2</v>
      </c>
      <c r="J23" s="105">
        <v>3.7302643204279798E-2</v>
      </c>
      <c r="K23" s="105">
        <v>3.7648015627409402E-2</v>
      </c>
      <c r="L23" s="105">
        <v>3.7425891396686901E-2</v>
      </c>
      <c r="M23" s="105">
        <v>3.6661618633352197E-2</v>
      </c>
      <c r="N23" s="106">
        <v>3.7487889888289501E-2</v>
      </c>
      <c r="O23" s="107">
        <v>3.8014784000000003E-2</v>
      </c>
      <c r="P23" s="42">
        <f t="shared" si="0"/>
        <v>4.1791652390661405E-3</v>
      </c>
      <c r="Q23" s="103"/>
    </row>
    <row r="24" spans="1:19" ht="14.4" customHeight="1">
      <c r="A24" s="22"/>
      <c r="B24" s="199" t="s">
        <v>39</v>
      </c>
      <c r="C24" s="104">
        <v>3.7789499842257997E-2</v>
      </c>
      <c r="D24" s="105">
        <v>3.87701185452917E-2</v>
      </c>
      <c r="E24" s="105">
        <v>3.9652218084881702E-2</v>
      </c>
      <c r="F24" s="105">
        <v>4.0039821410044397E-2</v>
      </c>
      <c r="G24" s="105">
        <v>3.9892883779493203E-2</v>
      </c>
      <c r="H24" s="105">
        <v>3.9796523892949201E-2</v>
      </c>
      <c r="I24" s="105">
        <v>3.8947829364680303E-2</v>
      </c>
      <c r="J24" s="105">
        <v>3.8296461804713001E-2</v>
      </c>
      <c r="K24" s="105">
        <v>3.8270435161166898E-2</v>
      </c>
      <c r="L24" s="105">
        <v>3.7856374383229502E-2</v>
      </c>
      <c r="M24" s="105">
        <v>3.74779985288183E-2</v>
      </c>
      <c r="N24" s="106">
        <v>3.6908953483118699E-2</v>
      </c>
      <c r="O24" s="107">
        <v>3.85617185864481E-2</v>
      </c>
      <c r="P24" s="42">
        <f t="shared" si="0"/>
        <v>1.4387417970021854E-2</v>
      </c>
      <c r="Q24" s="103"/>
    </row>
    <row r="25" spans="1:19" ht="14.4" customHeight="1">
      <c r="A25" s="22"/>
      <c r="B25" s="206" t="s">
        <v>40</v>
      </c>
      <c r="C25" s="104">
        <v>3.78329290502794E-2</v>
      </c>
      <c r="D25" s="105">
        <v>3.89881881228352E-2</v>
      </c>
      <c r="E25" s="105">
        <v>4.0269527962401797E-2</v>
      </c>
      <c r="F25" s="105">
        <v>4.0417428595393698E-2</v>
      </c>
      <c r="G25" s="105">
        <v>4.0115362983394402E-2</v>
      </c>
      <c r="H25" s="105">
        <v>3.9899999999999998E-2</v>
      </c>
      <c r="I25" s="105">
        <v>3.9465518269064123E-2</v>
      </c>
      <c r="J25" s="105">
        <v>3.7719528712704134E-2</v>
      </c>
      <c r="K25" s="105">
        <v>3.780959287632641E-2</v>
      </c>
      <c r="L25" s="105">
        <v>3.8129142570975549E-2</v>
      </c>
      <c r="M25" s="105">
        <v>3.8208284005134062E-2</v>
      </c>
      <c r="N25" s="106">
        <v>3.7937810625208311E-2</v>
      </c>
      <c r="O25" s="107">
        <v>3.8790109121452927E-2</v>
      </c>
      <c r="P25" s="42">
        <v>5.9227270821142763E-3</v>
      </c>
      <c r="Q25" s="103"/>
    </row>
    <row r="26" spans="1:19" ht="14.4" customHeight="1">
      <c r="A26" s="22"/>
      <c r="B26" s="206" t="s">
        <v>41</v>
      </c>
      <c r="C26" s="104">
        <v>3.8086888273059456E-2</v>
      </c>
      <c r="D26" s="105">
        <v>3.9066822242545582E-2</v>
      </c>
      <c r="E26" s="105">
        <v>3.9823790558037753E-2</v>
      </c>
      <c r="F26" s="105">
        <v>4.0471918061096179E-2</v>
      </c>
      <c r="G26" s="105">
        <v>4.0360352992275243E-2</v>
      </c>
      <c r="H26" s="105">
        <v>3.9404605642476671E-2</v>
      </c>
      <c r="I26" s="105">
        <v>3.9659274918383995E-2</v>
      </c>
      <c r="J26" s="105">
        <v>3.8801494243189537E-2</v>
      </c>
      <c r="K26" s="105">
        <v>3.8803509951225335E-2</v>
      </c>
      <c r="L26" s="105">
        <v>3.865581346345532E-2</v>
      </c>
      <c r="M26" s="105">
        <v>3.8229507146367324E-2</v>
      </c>
      <c r="N26" s="106">
        <v>3.8312584380668563E-2</v>
      </c>
      <c r="O26" s="107">
        <v>3.9089138733558793E-2</v>
      </c>
      <c r="P26" s="42">
        <v>5.9227270821142763E-3</v>
      </c>
      <c r="Q26" s="103"/>
    </row>
    <row r="27" spans="1:19" ht="15" customHeight="1">
      <c r="A27" s="22"/>
      <c r="B27" s="206">
        <v>2024</v>
      </c>
      <c r="C27" s="104">
        <v>3.8725127208630042E-2</v>
      </c>
      <c r="D27" s="105">
        <v>3.9158552200166834E-2</v>
      </c>
      <c r="E27" s="105">
        <v>4.0708798207810329E-2</v>
      </c>
      <c r="F27" s="105">
        <v>4.1577304064527941E-2</v>
      </c>
      <c r="G27" s="105">
        <v>4.1705038522421134E-2</v>
      </c>
      <c r="H27" s="105">
        <v>4.1524812551007546E-2</v>
      </c>
      <c r="I27" s="105">
        <v>3.8876285684415007E-2</v>
      </c>
      <c r="J27" s="105">
        <v>3.8392180159529034E-2</v>
      </c>
      <c r="K27" s="105">
        <v>3.826170998141476E-2</v>
      </c>
      <c r="L27" s="105">
        <v>3.7466590450104913E-2</v>
      </c>
      <c r="M27" s="105">
        <v>3.7466723295477539E-2</v>
      </c>
      <c r="N27" s="106">
        <v>3.8215322853428969E-2</v>
      </c>
      <c r="O27" s="107">
        <v>3.9153362090932273E-2</v>
      </c>
      <c r="P27" s="42">
        <v>5.9227270821142763E-3</v>
      </c>
      <c r="Q27" s="76"/>
    </row>
    <row r="28" spans="1:19" ht="15" customHeight="1" thickBot="1">
      <c r="A28" s="6"/>
      <c r="B28" s="207">
        <v>2025</v>
      </c>
      <c r="C28" s="108">
        <v>3.8773369650315193E-2</v>
      </c>
      <c r="D28" s="109">
        <v>4.0027431776091062E-2</v>
      </c>
      <c r="E28" s="109">
        <v>4.080600372962493E-2</v>
      </c>
      <c r="F28" s="109">
        <v>4.1570699189433236E-2</v>
      </c>
      <c r="G28" s="109">
        <v>4.101702256227148E-2</v>
      </c>
      <c r="H28" s="109">
        <v>4.0772100720218342E-2</v>
      </c>
      <c r="I28" s="109">
        <v>3.9921896980652731E-2</v>
      </c>
      <c r="J28" s="109">
        <v>3.8706597420352519E-2</v>
      </c>
      <c r="K28" s="109">
        <v>3.8982627379481667E-2</v>
      </c>
      <c r="L28" s="109"/>
      <c r="M28" s="109"/>
      <c r="N28" s="110"/>
      <c r="O28" s="111"/>
      <c r="P28" s="50"/>
      <c r="Q28" s="95"/>
    </row>
    <row r="29" spans="1:19" ht="14.4" customHeight="1">
      <c r="A29" s="6"/>
      <c r="B29" s="87" t="s">
        <v>42</v>
      </c>
      <c r="C29" s="32"/>
      <c r="D29" s="32"/>
      <c r="E29" s="32"/>
      <c r="F29" s="32"/>
      <c r="G29" s="32"/>
      <c r="H29" s="7"/>
      <c r="I29" s="52"/>
      <c r="J29" s="52"/>
      <c r="K29" s="52"/>
      <c r="L29" s="52"/>
      <c r="M29" s="52"/>
      <c r="N29" s="32"/>
      <c r="O29" s="217"/>
      <c r="P29" s="112"/>
      <c r="Q29" s="113"/>
    </row>
    <row r="30" spans="1:19" ht="14.4" customHeight="1">
      <c r="A30" s="6"/>
      <c r="B30" s="14" t="s">
        <v>43</v>
      </c>
      <c r="C30" s="39"/>
      <c r="D30" s="39"/>
      <c r="E30" s="39"/>
      <c r="F30" s="39"/>
      <c r="G30" s="7"/>
      <c r="H30" s="7"/>
      <c r="I30" s="7"/>
      <c r="J30" s="39"/>
      <c r="K30" s="39"/>
      <c r="L30" s="39"/>
      <c r="M30" s="39"/>
      <c r="N30" s="39"/>
      <c r="O30" s="114"/>
      <c r="P30" s="115"/>
      <c r="Q30" s="113"/>
    </row>
    <row r="31" spans="1:19" ht="15" customHeight="1" thickBo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13"/>
      <c r="S31" s="7"/>
    </row>
    <row r="32" spans="1:19" ht="15" customHeight="1" thickBot="1">
      <c r="A32" s="6"/>
      <c r="B32" s="7"/>
      <c r="C32" s="7"/>
      <c r="D32" s="7"/>
      <c r="E32" s="7"/>
      <c r="F32" s="7"/>
      <c r="G32" s="330" t="s">
        <v>44</v>
      </c>
      <c r="H32" s="331"/>
      <c r="I32" s="332"/>
      <c r="J32" s="7"/>
      <c r="K32" s="7"/>
      <c r="L32" s="7"/>
      <c r="M32" s="7"/>
      <c r="N32" s="7"/>
      <c r="O32" s="7"/>
      <c r="P32" s="7"/>
      <c r="Q32" s="95"/>
    </row>
    <row r="33" spans="1:17" ht="15" customHeight="1" thickBot="1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95"/>
    </row>
    <row r="34" spans="1:17" ht="27.6" customHeight="1" thickBot="1">
      <c r="A34" s="22"/>
      <c r="B34" s="96"/>
      <c r="C34" s="24" t="s">
        <v>5</v>
      </c>
      <c r="D34" s="25" t="s">
        <v>6</v>
      </c>
      <c r="E34" s="25" t="s">
        <v>7</v>
      </c>
      <c r="F34" s="25" t="s">
        <v>8</v>
      </c>
      <c r="G34" s="25" t="s">
        <v>9</v>
      </c>
      <c r="H34" s="25" t="s">
        <v>10</v>
      </c>
      <c r="I34" s="25" t="s">
        <v>11</v>
      </c>
      <c r="J34" s="25" t="s">
        <v>12</v>
      </c>
      <c r="K34" s="25" t="s">
        <v>13</v>
      </c>
      <c r="L34" s="25" t="s">
        <v>14</v>
      </c>
      <c r="M34" s="25" t="s">
        <v>15</v>
      </c>
      <c r="N34" s="26" t="s">
        <v>16</v>
      </c>
      <c r="O34" s="97" t="s">
        <v>31</v>
      </c>
      <c r="P34" s="26" t="s">
        <v>32</v>
      </c>
      <c r="Q34" s="76"/>
    </row>
    <row r="35" spans="1:17" ht="14.4" customHeight="1">
      <c r="A35" s="22"/>
      <c r="B35" s="30">
        <v>2012</v>
      </c>
      <c r="C35" s="98">
        <v>3.1896710522575103E-2</v>
      </c>
      <c r="D35" s="99">
        <v>3.2413934120294099E-2</v>
      </c>
      <c r="E35" s="99">
        <v>3.3607408087325902E-2</v>
      </c>
      <c r="F35" s="99">
        <v>3.3929783768066601E-2</v>
      </c>
      <c r="G35" s="99">
        <v>3.3940805382325197E-2</v>
      </c>
      <c r="H35" s="99">
        <v>3.4065949697961097E-2</v>
      </c>
      <c r="I35" s="99">
        <v>3.3814886230777802E-2</v>
      </c>
      <c r="J35" s="99">
        <v>3.3507073100054699E-2</v>
      </c>
      <c r="K35" s="99">
        <v>3.3721845912676698E-2</v>
      </c>
      <c r="L35" s="99">
        <v>3.3212087648075803E-2</v>
      </c>
      <c r="M35" s="99">
        <v>3.2045628911168002E-2</v>
      </c>
      <c r="N35" s="100">
        <v>3.1532529342885002E-2</v>
      </c>
      <c r="O35" s="101">
        <v>3.3129478134138302E-2</v>
      </c>
      <c r="P35" s="102"/>
      <c r="Q35" s="103"/>
    </row>
    <row r="36" spans="1:17" ht="14.4" customHeight="1">
      <c r="A36" s="22"/>
      <c r="B36" s="37">
        <v>2013</v>
      </c>
      <c r="C36" s="104">
        <v>3.1817805835464098E-2</v>
      </c>
      <c r="D36" s="105">
        <v>3.2237581816493797E-2</v>
      </c>
      <c r="E36" s="105">
        <v>3.3988755904737898E-2</v>
      </c>
      <c r="F36" s="105">
        <v>3.4012864214348397E-2</v>
      </c>
      <c r="G36" s="105">
        <v>3.4018574280977203E-2</v>
      </c>
      <c r="H36" s="105">
        <v>3.3596662484537299E-2</v>
      </c>
      <c r="I36" s="105">
        <v>3.3145456727407603E-2</v>
      </c>
      <c r="J36" s="105">
        <v>3.3347583964237003E-2</v>
      </c>
      <c r="K36" s="105">
        <v>3.3873507991723298E-2</v>
      </c>
      <c r="L36" s="105">
        <v>3.3461955601897998E-2</v>
      </c>
      <c r="M36" s="105">
        <v>3.2778556061914897E-2</v>
      </c>
      <c r="N36" s="106">
        <v>3.1869098226162802E-2</v>
      </c>
      <c r="O36" s="107">
        <v>3.3186141896065703E-2</v>
      </c>
      <c r="P36" s="42">
        <f t="shared" ref="P36:P47" si="1">O36/O35-1</f>
        <v>1.7103729101308751E-3</v>
      </c>
      <c r="Q36" s="103"/>
    </row>
    <row r="37" spans="1:17" ht="14.4" customHeight="1">
      <c r="A37" s="22"/>
      <c r="B37" s="37">
        <v>2014</v>
      </c>
      <c r="C37" s="104">
        <v>3.2178454707549403E-2</v>
      </c>
      <c r="D37" s="105">
        <v>3.3013190500941501E-2</v>
      </c>
      <c r="E37" s="105">
        <v>3.4258242853312401E-2</v>
      </c>
      <c r="F37" s="105">
        <v>3.4452252850357599E-2</v>
      </c>
      <c r="G37" s="105">
        <v>3.4289889463488203E-2</v>
      </c>
      <c r="H37" s="105">
        <v>3.4056278547467601E-2</v>
      </c>
      <c r="I37" s="105">
        <v>3.3412053331902197E-2</v>
      </c>
      <c r="J37" s="105">
        <v>3.3692989130390198E-2</v>
      </c>
      <c r="K37" s="105">
        <v>3.3768217867544401E-2</v>
      </c>
      <c r="L37" s="105">
        <v>3.32999314683112E-2</v>
      </c>
      <c r="M37" s="105">
        <v>3.2806306043221302E-2</v>
      </c>
      <c r="N37" s="106">
        <v>3.2365486829582998E-2</v>
      </c>
      <c r="O37" s="107">
        <v>3.3429911193480502E-2</v>
      </c>
      <c r="P37" s="42">
        <f t="shared" si="1"/>
        <v>7.3455148289984784E-3</v>
      </c>
      <c r="Q37" s="103"/>
    </row>
    <row r="38" spans="1:17" ht="14.4" customHeight="1">
      <c r="A38" s="22"/>
      <c r="B38" s="206">
        <v>2015</v>
      </c>
      <c r="C38" s="104">
        <v>3.21745902418651E-2</v>
      </c>
      <c r="D38" s="105">
        <v>3.28156385667078E-2</v>
      </c>
      <c r="E38" s="105">
        <v>3.3700444937947001E-2</v>
      </c>
      <c r="F38" s="105">
        <v>3.3900097534119301E-2</v>
      </c>
      <c r="G38" s="105">
        <v>3.3720224136512697E-2</v>
      </c>
      <c r="H38" s="105">
        <v>3.3526755193131502E-2</v>
      </c>
      <c r="I38" s="105">
        <v>3.3216726661249599E-2</v>
      </c>
      <c r="J38" s="105">
        <v>3.3184814330953598E-2</v>
      </c>
      <c r="K38" s="105">
        <v>3.3996697621540603E-2</v>
      </c>
      <c r="L38" s="105">
        <v>3.40592490810969E-2</v>
      </c>
      <c r="M38" s="105">
        <v>3.3199123328767802E-2</v>
      </c>
      <c r="N38" s="106">
        <v>3.2364833243887801E-2</v>
      </c>
      <c r="O38" s="107">
        <v>3.32695641078311E-2</v>
      </c>
      <c r="P38" s="42">
        <f t="shared" si="1"/>
        <v>-4.79651545352211E-3</v>
      </c>
      <c r="Q38" s="103"/>
    </row>
    <row r="39" spans="1:17" ht="14.4" customHeight="1">
      <c r="A39" s="22"/>
      <c r="B39" s="206">
        <v>2016</v>
      </c>
      <c r="C39" s="104">
        <v>3.2158253909098898E-2</v>
      </c>
      <c r="D39" s="105">
        <v>3.2640208444033897E-2</v>
      </c>
      <c r="E39" s="105">
        <v>3.4235599122441798E-2</v>
      </c>
      <c r="F39" s="105">
        <v>3.3929730653260402E-2</v>
      </c>
      <c r="G39" s="105">
        <v>3.42315637730711E-2</v>
      </c>
      <c r="H39" s="105">
        <v>3.3909731198972302E-2</v>
      </c>
      <c r="I39" s="105">
        <v>3.3524259056451997E-2</v>
      </c>
      <c r="J39" s="105">
        <v>3.3243000000000002E-2</v>
      </c>
      <c r="K39" s="105">
        <v>3.3985497201385599E-2</v>
      </c>
      <c r="L39" s="105">
        <v>3.3333538231071602E-2</v>
      </c>
      <c r="M39" s="105">
        <v>3.2591569349782003E-2</v>
      </c>
      <c r="N39" s="106">
        <v>3.2611495727555902E-2</v>
      </c>
      <c r="O39" s="107">
        <v>3.3372327894592498E-2</v>
      </c>
      <c r="P39" s="42">
        <f t="shared" si="1"/>
        <v>3.0888227578915739E-3</v>
      </c>
      <c r="Q39" s="103"/>
    </row>
    <row r="40" spans="1:17" ht="14.4" customHeight="1">
      <c r="A40" s="22"/>
      <c r="B40" s="206">
        <v>2017</v>
      </c>
      <c r="C40" s="104">
        <v>3.2744991207778899E-2</v>
      </c>
      <c r="D40" s="105">
        <v>3.29952698234924E-2</v>
      </c>
      <c r="E40" s="105">
        <v>3.4068480371927203E-2</v>
      </c>
      <c r="F40" s="105">
        <v>3.44290938884955E-2</v>
      </c>
      <c r="G40" s="105">
        <v>3.4439999999999998E-2</v>
      </c>
      <c r="H40" s="105">
        <v>3.4555351969310602E-2</v>
      </c>
      <c r="I40" s="105">
        <v>3.38012924286622E-2</v>
      </c>
      <c r="J40" s="105">
        <v>3.3940999999999999E-2</v>
      </c>
      <c r="K40" s="105">
        <v>3.3155226351099298E-2</v>
      </c>
      <c r="L40" s="105">
        <v>3.3003554051710897E-2</v>
      </c>
      <c r="M40" s="105">
        <v>3.28799920472478E-2</v>
      </c>
      <c r="N40" s="106">
        <v>3.2233687302166802E-2</v>
      </c>
      <c r="O40" s="107">
        <v>3.3462946207739999E-2</v>
      </c>
      <c r="P40" s="42">
        <f t="shared" si="1"/>
        <v>2.7153728512354647E-3</v>
      </c>
      <c r="Q40" s="103"/>
    </row>
    <row r="41" spans="1:17" ht="14.4" customHeight="1">
      <c r="A41" s="22"/>
      <c r="B41" s="206">
        <v>2018</v>
      </c>
      <c r="C41" s="104">
        <v>3.2611701353265903E-2</v>
      </c>
      <c r="D41" s="105">
        <v>3.3042222222222202E-2</v>
      </c>
      <c r="E41" s="105">
        <v>3.4576382294931901E-2</v>
      </c>
      <c r="F41" s="105">
        <v>3.4065762359732403E-2</v>
      </c>
      <c r="G41" s="105">
        <v>3.4436135383380098E-2</v>
      </c>
      <c r="H41" s="105">
        <v>3.4687642988770001E-2</v>
      </c>
      <c r="I41" s="105">
        <v>3.41138207428648E-2</v>
      </c>
      <c r="J41" s="105">
        <v>3.4231236364171698E-2</v>
      </c>
      <c r="K41" s="105">
        <v>3.3860148714465098E-2</v>
      </c>
      <c r="L41" s="105">
        <v>3.3436937072315702E-2</v>
      </c>
      <c r="M41" s="105">
        <v>3.3184630792155001E-2</v>
      </c>
      <c r="N41" s="106">
        <v>3.3068492458646903E-2</v>
      </c>
      <c r="O41" s="107">
        <v>3.3745711650364198E-2</v>
      </c>
      <c r="P41" s="42">
        <f t="shared" si="1"/>
        <v>8.4501060028836505E-3</v>
      </c>
      <c r="Q41" s="103"/>
    </row>
    <row r="42" spans="1:17" ht="14.4" customHeight="1">
      <c r="A42" s="22"/>
      <c r="B42" s="206">
        <v>2019</v>
      </c>
      <c r="C42" s="104">
        <v>3.2965437326692E-2</v>
      </c>
      <c r="D42" s="105">
        <v>3.3694719982931998E-2</v>
      </c>
      <c r="E42" s="105">
        <v>3.4760915937600598E-2</v>
      </c>
      <c r="F42" s="105">
        <v>3.4320327672412498E-2</v>
      </c>
      <c r="G42" s="105">
        <v>3.4634386706094103E-2</v>
      </c>
      <c r="H42" s="105">
        <v>3.4341050045387497E-2</v>
      </c>
      <c r="I42" s="105">
        <v>3.43596193861435E-2</v>
      </c>
      <c r="J42" s="105">
        <v>3.4281371098329502E-2</v>
      </c>
      <c r="K42" s="105">
        <v>3.4896277305989598E-2</v>
      </c>
      <c r="L42" s="105">
        <v>3.4526407736010199E-2</v>
      </c>
      <c r="M42" s="105">
        <v>3.3417468015936098E-2</v>
      </c>
      <c r="N42" s="106">
        <v>3.26582548539723E-2</v>
      </c>
      <c r="O42" s="107">
        <v>3.3937037958735303E-2</v>
      </c>
      <c r="P42" s="42">
        <f t="shared" si="1"/>
        <v>5.6696480534599303E-3</v>
      </c>
      <c r="Q42" s="76"/>
    </row>
    <row r="43" spans="1:17" ht="14.4" customHeight="1">
      <c r="A43" s="22"/>
      <c r="B43" s="206">
        <v>2020</v>
      </c>
      <c r="C43" s="104">
        <v>3.32337826354775E-2</v>
      </c>
      <c r="D43" s="105">
        <v>3.39828078273261E-2</v>
      </c>
      <c r="E43" s="105">
        <v>3.4167390312466003E-2</v>
      </c>
      <c r="F43" s="105">
        <v>3.4629300273036297E-2</v>
      </c>
      <c r="G43" s="105">
        <v>3.5394208681701601E-2</v>
      </c>
      <c r="H43" s="105">
        <v>3.47430631026691E-2</v>
      </c>
      <c r="I43" s="105">
        <v>3.5099079330957503E-2</v>
      </c>
      <c r="J43" s="105">
        <v>3.5201811298529097E-2</v>
      </c>
      <c r="K43" s="105">
        <v>3.5190480420044398E-2</v>
      </c>
      <c r="L43" s="105">
        <v>3.4525237481464799E-2</v>
      </c>
      <c r="M43" s="105">
        <v>3.3525491942378603E-2</v>
      </c>
      <c r="N43" s="106">
        <v>3.33349360757604E-2</v>
      </c>
      <c r="O43" s="107">
        <v>3.4112160000000002E-2</v>
      </c>
      <c r="P43" s="42">
        <f t="shared" si="1"/>
        <v>5.1602040660601034E-3</v>
      </c>
      <c r="Q43" s="103"/>
    </row>
    <row r="44" spans="1:17" ht="14.4" customHeight="1">
      <c r="A44" s="22"/>
      <c r="B44" s="206">
        <v>2021</v>
      </c>
      <c r="C44" s="104">
        <v>3.3681551057796098E-2</v>
      </c>
      <c r="D44" s="105">
        <v>3.4587439972645601E-2</v>
      </c>
      <c r="E44" s="105">
        <v>3.49223495413978E-2</v>
      </c>
      <c r="F44" s="105">
        <v>3.46266814163321E-2</v>
      </c>
      <c r="G44" s="105">
        <v>3.49021393414626E-2</v>
      </c>
      <c r="H44" s="105">
        <v>3.45546631460662E-2</v>
      </c>
      <c r="I44" s="105">
        <v>3.4796756845776301E-2</v>
      </c>
      <c r="J44" s="105">
        <v>3.5414228595007501E-2</v>
      </c>
      <c r="K44" s="105">
        <v>3.4713550366990802E-2</v>
      </c>
      <c r="L44" s="105">
        <v>3.4308542682823198E-2</v>
      </c>
      <c r="M44" s="105">
        <v>3.3048522154016297E-2</v>
      </c>
      <c r="N44" s="106">
        <v>3.3612395124754099E-2</v>
      </c>
      <c r="O44" s="107">
        <v>3.4421799678948602E-2</v>
      </c>
      <c r="P44" s="42">
        <f t="shared" si="1"/>
        <v>9.0771056112717297E-3</v>
      </c>
      <c r="Q44" s="103"/>
    </row>
    <row r="45" spans="1:17" ht="14.4" customHeight="1">
      <c r="A45" s="22"/>
      <c r="B45" s="206">
        <v>2022</v>
      </c>
      <c r="C45" s="104">
        <v>3.3418516229625599E-2</v>
      </c>
      <c r="D45" s="105">
        <v>3.4741207477945797E-2</v>
      </c>
      <c r="E45" s="105">
        <v>3.5512662287271103E-2</v>
      </c>
      <c r="F45" s="105">
        <v>3.5568209777648997E-2</v>
      </c>
      <c r="G45" s="105">
        <v>3.5483721578447799E-2</v>
      </c>
      <c r="H45" s="105">
        <v>3.5299999999999998E-2</v>
      </c>
      <c r="I45" s="105">
        <v>3.4516785458536821E-2</v>
      </c>
      <c r="J45" s="105">
        <v>3.456229839247256E-2</v>
      </c>
      <c r="K45" s="105">
        <v>3.484669920874011E-2</v>
      </c>
      <c r="L45" s="105">
        <v>3.4230740736574776E-2</v>
      </c>
      <c r="M45" s="105">
        <v>3.353282923193044E-2</v>
      </c>
      <c r="N45" s="106">
        <v>3.3147505790751756E-2</v>
      </c>
      <c r="O45" s="107">
        <v>3.4518738144936487E-2</v>
      </c>
      <c r="P45" s="42">
        <f t="shared" si="1"/>
        <v>2.8161940076354419E-3</v>
      </c>
      <c r="Q45" s="103"/>
    </row>
    <row r="46" spans="1:17" ht="14.4" customHeight="1">
      <c r="A46" s="22"/>
      <c r="B46" s="206">
        <v>2023</v>
      </c>
      <c r="C46" s="104">
        <v>3.3854878561984929E-2</v>
      </c>
      <c r="D46" s="105">
        <v>3.4603604577321291E-2</v>
      </c>
      <c r="E46" s="105">
        <v>3.4908895718183959E-2</v>
      </c>
      <c r="F46" s="105">
        <v>3.5734123255110196E-2</v>
      </c>
      <c r="G46" s="105">
        <v>3.5570920829075259E-2</v>
      </c>
      <c r="H46" s="105">
        <v>3.5402974904770575E-2</v>
      </c>
      <c r="I46" s="105">
        <v>3.5283211258000054E-2</v>
      </c>
      <c r="J46" s="105">
        <v>3.5637915872836587E-2</v>
      </c>
      <c r="K46" s="105">
        <v>3.5896594530447648E-2</v>
      </c>
      <c r="L46" s="105">
        <v>3.5075274685827135E-2</v>
      </c>
      <c r="M46" s="105">
        <v>3.4547912831612973E-2</v>
      </c>
      <c r="N46" s="106">
        <v>3.3991968749184961E-2</v>
      </c>
      <c r="O46" s="107">
        <v>3.5071553871784934E-2</v>
      </c>
      <c r="P46" s="42">
        <f t="shared" si="1"/>
        <v>1.6014945984621276E-2</v>
      </c>
      <c r="Q46" s="103"/>
    </row>
    <row r="47" spans="1:17" ht="15" customHeight="1">
      <c r="A47" s="22"/>
      <c r="B47" s="206">
        <v>2024</v>
      </c>
      <c r="C47" s="104">
        <v>3.4232338478782175E-2</v>
      </c>
      <c r="D47" s="105">
        <v>3.4866254381940347E-2</v>
      </c>
      <c r="E47" s="105">
        <v>3.6245651001891595E-2</v>
      </c>
      <c r="F47" s="105">
        <v>3.6383641863319723E-2</v>
      </c>
      <c r="G47" s="105">
        <v>3.6336935266778052E-2</v>
      </c>
      <c r="H47" s="105">
        <v>3.6280527436353432E-2</v>
      </c>
      <c r="I47" s="105">
        <v>3.5663429757588849E-2</v>
      </c>
      <c r="J47" s="105">
        <v>3.5451462926719302E-2</v>
      </c>
      <c r="K47" s="105">
        <v>3.5383431538519902E-2</v>
      </c>
      <c r="L47" s="105">
        <v>3.4799365700196851E-2</v>
      </c>
      <c r="M47" s="105">
        <v>3.4179323235812006E-2</v>
      </c>
      <c r="N47" s="106">
        <v>3.4887538668535875E-2</v>
      </c>
      <c r="O47" s="107">
        <v>3.53357484372991E-2</v>
      </c>
      <c r="P47" s="42">
        <f t="shared" si="1"/>
        <v>7.5330156878710142E-3</v>
      </c>
      <c r="Q47" s="76"/>
    </row>
    <row r="48" spans="1:17" ht="15" customHeight="1" thickBot="1">
      <c r="A48" s="6"/>
      <c r="B48" s="207">
        <v>2025</v>
      </c>
      <c r="C48" s="108">
        <v>3.5085168773639756E-2</v>
      </c>
      <c r="D48" s="109">
        <v>3.5620325139941712E-2</v>
      </c>
      <c r="E48" s="109">
        <v>3.6430504890503493E-2</v>
      </c>
      <c r="F48" s="109">
        <v>3.7045818579167521E-2</v>
      </c>
      <c r="G48" s="109">
        <v>3.6300786139431433E-2</v>
      </c>
      <c r="H48" s="109">
        <v>3.6542690432764632E-2</v>
      </c>
      <c r="I48" s="109">
        <v>3.5995425867665826E-2</v>
      </c>
      <c r="J48" s="109">
        <v>3.5939411400485163E-2</v>
      </c>
      <c r="K48" s="109">
        <v>3.5954927886757138E-2</v>
      </c>
      <c r="L48" s="109"/>
      <c r="M48" s="109"/>
      <c r="N48" s="110"/>
      <c r="O48" s="111"/>
      <c r="P48" s="50"/>
      <c r="Q48" s="95"/>
    </row>
    <row r="49" spans="1:17" ht="14.4" customHeight="1">
      <c r="A49" s="6"/>
      <c r="B49" s="87" t="s">
        <v>42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116"/>
      <c r="N49" s="32"/>
      <c r="O49" s="217"/>
      <c r="P49" s="112"/>
      <c r="Q49" s="113"/>
    </row>
    <row r="50" spans="1:17" ht="14.4" customHeight="1">
      <c r="A50" s="6"/>
      <c r="B50" s="14" t="s">
        <v>43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81"/>
      <c r="N50" s="39"/>
      <c r="O50" s="114"/>
      <c r="P50" s="115"/>
      <c r="Q50" s="113"/>
    </row>
    <row r="51" spans="1:17" ht="14.4" customHeight="1">
      <c r="A51" s="6"/>
      <c r="B51" s="7"/>
      <c r="C51" s="7"/>
      <c r="D51" s="7"/>
      <c r="E51" s="11"/>
      <c r="F51" s="11"/>
      <c r="G51" s="11"/>
      <c r="H51" s="11"/>
      <c r="I51" s="11"/>
      <c r="J51" s="7"/>
      <c r="K51" s="7"/>
      <c r="L51" s="7"/>
      <c r="M51" s="81"/>
      <c r="N51" s="7"/>
      <c r="O51" s="7"/>
      <c r="P51" s="7"/>
      <c r="Q51" s="95"/>
    </row>
    <row r="52" spans="1:17" ht="14.4" customHeight="1">
      <c r="A52" s="6"/>
      <c r="B52" s="7"/>
      <c r="C52" s="7"/>
      <c r="D52" s="7"/>
      <c r="E52" s="71"/>
      <c r="F52" s="333" t="s">
        <v>45</v>
      </c>
      <c r="G52" s="334"/>
      <c r="H52" s="334"/>
      <c r="I52" s="334"/>
      <c r="J52" s="334"/>
      <c r="K52" s="7"/>
      <c r="L52" s="7"/>
      <c r="M52" s="7"/>
      <c r="N52" s="7"/>
      <c r="O52" s="7"/>
      <c r="P52" s="7"/>
      <c r="Q52" s="95"/>
    </row>
    <row r="53" spans="1:17" ht="15" customHeight="1" thickBot="1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17"/>
    </row>
    <row r="54" spans="1:17" ht="15" customHeight="1" thickBot="1">
      <c r="A54" s="22"/>
      <c r="B54" s="96"/>
      <c r="C54" s="24" t="s">
        <v>5</v>
      </c>
      <c r="D54" s="25" t="s">
        <v>6</v>
      </c>
      <c r="E54" s="25" t="s">
        <v>7</v>
      </c>
      <c r="F54" s="25" t="s">
        <v>8</v>
      </c>
      <c r="G54" s="25" t="s">
        <v>9</v>
      </c>
      <c r="H54" s="25" t="s">
        <v>10</v>
      </c>
      <c r="I54" s="25" t="s">
        <v>11</v>
      </c>
      <c r="J54" s="25" t="s">
        <v>12</v>
      </c>
      <c r="K54" s="25" t="s">
        <v>13</v>
      </c>
      <c r="L54" s="25" t="s">
        <v>14</v>
      </c>
      <c r="M54" s="25" t="s">
        <v>15</v>
      </c>
      <c r="N54" s="26" t="s">
        <v>16</v>
      </c>
      <c r="O54" s="97" t="s">
        <v>46</v>
      </c>
      <c r="P54" s="26" t="s">
        <v>32</v>
      </c>
      <c r="Q54" s="76"/>
    </row>
    <row r="55" spans="1:17" ht="14.4" customHeight="1">
      <c r="A55" s="22"/>
      <c r="B55" s="30">
        <v>2012</v>
      </c>
      <c r="C55" s="118">
        <v>116.746576647078</v>
      </c>
      <c r="D55" s="119">
        <v>108.47822352946901</v>
      </c>
      <c r="E55" s="119">
        <v>108.466086400487</v>
      </c>
      <c r="F55" s="119">
        <v>109.226572494511</v>
      </c>
      <c r="G55" s="119">
        <v>108.127562794995</v>
      </c>
      <c r="H55" s="119">
        <v>107.174932968142</v>
      </c>
      <c r="I55" s="119">
        <v>106.33398667386</v>
      </c>
      <c r="J55" s="119">
        <v>99.276291034768207</v>
      </c>
      <c r="K55" s="119">
        <v>99.967837020102607</v>
      </c>
      <c r="L55" s="119">
        <v>99.504875999069</v>
      </c>
      <c r="M55" s="119">
        <v>100.56988140611401</v>
      </c>
      <c r="N55" s="120">
        <v>100.93976488730399</v>
      </c>
      <c r="O55" s="121">
        <v>105.09272612707034</v>
      </c>
      <c r="P55" s="102"/>
      <c r="Q55" s="76"/>
    </row>
    <row r="56" spans="1:17" ht="14.4" customHeight="1">
      <c r="A56" s="22"/>
      <c r="B56" s="37">
        <v>2013</v>
      </c>
      <c r="C56" s="122">
        <v>103.77864485362799</v>
      </c>
      <c r="D56" s="123">
        <v>106.26457175897001</v>
      </c>
      <c r="E56" s="123">
        <v>108.152665976199</v>
      </c>
      <c r="F56" s="123">
        <v>113.12487546488801</v>
      </c>
      <c r="G56" s="123">
        <v>115.163805539422</v>
      </c>
      <c r="H56" s="123">
        <v>114.73683064783199</v>
      </c>
      <c r="I56" s="123">
        <v>114.641574220715</v>
      </c>
      <c r="J56" s="123">
        <v>118.935479806757</v>
      </c>
      <c r="K56" s="123">
        <v>123.931477641445</v>
      </c>
      <c r="L56" s="123">
        <v>131.902045796257</v>
      </c>
      <c r="M56" s="123">
        <v>134.33644252985999</v>
      </c>
      <c r="N56" s="124">
        <v>133.848757232949</v>
      </c>
      <c r="O56" s="125">
        <v>119.49968747669293</v>
      </c>
      <c r="P56" s="42">
        <f t="shared" ref="P56:P67" si="2">O56/O55-1</f>
        <v>0.13708809239759145</v>
      </c>
      <c r="Q56" s="76"/>
    </row>
    <row r="57" spans="1:17" ht="14.4" customHeight="1">
      <c r="A57" s="22"/>
      <c r="B57" s="37">
        <v>2014</v>
      </c>
      <c r="C57" s="122">
        <v>137.99039366468099</v>
      </c>
      <c r="D57" s="123">
        <v>137.87545205475399</v>
      </c>
      <c r="E57" s="123">
        <v>139.73194436979301</v>
      </c>
      <c r="F57" s="123">
        <v>139.85388703259099</v>
      </c>
      <c r="G57" s="123">
        <v>141.06184988906401</v>
      </c>
      <c r="H57" s="123">
        <v>140.83423613974401</v>
      </c>
      <c r="I57" s="123">
        <v>139.564238764495</v>
      </c>
      <c r="J57" s="123">
        <v>134.35724839288801</v>
      </c>
      <c r="K57" s="123">
        <v>133.68125403770799</v>
      </c>
      <c r="L57" s="123">
        <v>128.78022669864399</v>
      </c>
      <c r="M57" s="123">
        <v>127.57874342273701</v>
      </c>
      <c r="N57" s="124">
        <v>127.101192233801</v>
      </c>
      <c r="O57" s="125">
        <v>135.18990733408958</v>
      </c>
      <c r="P57" s="42">
        <f t="shared" si="2"/>
        <v>0.13129925432195666</v>
      </c>
      <c r="Q57" s="76"/>
    </row>
    <row r="58" spans="1:17" ht="14.4" customHeight="1">
      <c r="A58" s="22"/>
      <c r="B58" s="206">
        <v>2015</v>
      </c>
      <c r="C58" s="122">
        <v>126.234998333178</v>
      </c>
      <c r="D58" s="123">
        <v>126.251798078794</v>
      </c>
      <c r="E58" s="123">
        <v>122.56525274408</v>
      </c>
      <c r="F58" s="123">
        <v>118.95769752819901</v>
      </c>
      <c r="G58" s="123">
        <v>114.362887712649</v>
      </c>
      <c r="H58" s="123">
        <v>106.421536711204</v>
      </c>
      <c r="I58" s="123">
        <v>104.17479390267501</v>
      </c>
      <c r="J58" s="123">
        <v>103.64284158074599</v>
      </c>
      <c r="K58" s="123">
        <v>104.75918706377399</v>
      </c>
      <c r="L58" s="123">
        <v>104.98864743192</v>
      </c>
      <c r="M58" s="123">
        <v>104.736702727229</v>
      </c>
      <c r="N58" s="124">
        <v>106.158591327408</v>
      </c>
      <c r="O58" s="125">
        <v>111.09824309878037</v>
      </c>
      <c r="P58" s="42">
        <f t="shared" si="2"/>
        <v>-0.1782060858712804</v>
      </c>
      <c r="Q58" s="76"/>
    </row>
    <row r="59" spans="1:17" ht="14.4" customHeight="1">
      <c r="A59" s="22"/>
      <c r="B59" s="206">
        <v>2016</v>
      </c>
      <c r="C59" s="122">
        <v>103.082139251832</v>
      </c>
      <c r="D59" s="123">
        <v>103.54875440107401</v>
      </c>
      <c r="E59" s="123">
        <v>103.77644725181401</v>
      </c>
      <c r="F59" s="123">
        <v>103.72498413471</v>
      </c>
      <c r="G59" s="126">
        <v>114.193159477457</v>
      </c>
      <c r="H59" s="126">
        <v>114.71014648980599</v>
      </c>
      <c r="I59" s="126">
        <v>117.815391150023</v>
      </c>
      <c r="J59" s="126">
        <v>121.263944487445</v>
      </c>
      <c r="K59" s="126">
        <v>119.280461837991</v>
      </c>
      <c r="L59" s="123">
        <v>124.32318632430901</v>
      </c>
      <c r="M59" s="123">
        <v>126.449874628074</v>
      </c>
      <c r="N59" s="124">
        <v>126.984560617287</v>
      </c>
      <c r="O59" s="125">
        <v>115.96681026921624</v>
      </c>
      <c r="P59" s="42">
        <f t="shared" si="2"/>
        <v>4.3822179673058237E-2</v>
      </c>
      <c r="Q59" s="76"/>
    </row>
    <row r="60" spans="1:17" ht="14.4" customHeight="1">
      <c r="A60" s="22"/>
      <c r="B60" s="206">
        <v>2017</v>
      </c>
      <c r="C60" s="122">
        <v>125.51491272697901</v>
      </c>
      <c r="D60" s="123">
        <v>130.04479604923301</v>
      </c>
      <c r="E60" s="123">
        <v>131.78788091828201</v>
      </c>
      <c r="F60" s="123">
        <v>132.64660437787299</v>
      </c>
      <c r="G60" s="123">
        <v>134.17685059781499</v>
      </c>
      <c r="H60" s="123">
        <v>134.47735016772901</v>
      </c>
      <c r="I60" s="123">
        <v>133.962180025957</v>
      </c>
      <c r="J60" s="126">
        <v>136.17047580855399</v>
      </c>
      <c r="K60" s="126">
        <v>134.62693788195099</v>
      </c>
      <c r="L60" s="126">
        <v>135.52099941310601</v>
      </c>
      <c r="M60" s="126">
        <v>136.49021054262101</v>
      </c>
      <c r="N60" s="45">
        <v>134.70101577659301</v>
      </c>
      <c r="O60" s="125">
        <v>133.61643564317424</v>
      </c>
      <c r="P60" s="42">
        <f t="shared" si="2"/>
        <v>0.1521954888039474</v>
      </c>
      <c r="Q60" s="76"/>
    </row>
    <row r="61" spans="1:17" ht="14.4" customHeight="1">
      <c r="A61" s="22"/>
      <c r="B61" s="206">
        <v>2018</v>
      </c>
      <c r="C61" s="127">
        <v>134.178132266684</v>
      </c>
      <c r="D61" s="126">
        <v>134.657581710611</v>
      </c>
      <c r="E61" s="126">
        <v>134.838484470716</v>
      </c>
      <c r="F61" s="126">
        <v>134.559910433715</v>
      </c>
      <c r="G61" s="126">
        <v>137.55219428469201</v>
      </c>
      <c r="H61" s="126">
        <v>138.33439330685201</v>
      </c>
      <c r="I61" s="126">
        <v>137.797547277386</v>
      </c>
      <c r="J61" s="123">
        <v>134.043314204339</v>
      </c>
      <c r="K61" s="123">
        <v>133.90107575073699</v>
      </c>
      <c r="L61" s="123">
        <v>134.068542096832</v>
      </c>
      <c r="M61" s="123">
        <v>130.98724895935101</v>
      </c>
      <c r="N61" s="40">
        <v>130.73793845807199</v>
      </c>
      <c r="O61" s="125">
        <v>134.57602234524015</v>
      </c>
      <c r="P61" s="42">
        <f t="shared" si="2"/>
        <v>7.1816516991105583E-3</v>
      </c>
      <c r="Q61" s="76"/>
    </row>
    <row r="62" spans="1:17" ht="14.4" customHeight="1">
      <c r="A62" s="22"/>
      <c r="B62" s="206">
        <v>2019</v>
      </c>
      <c r="C62" s="122">
        <v>129.58899345402401</v>
      </c>
      <c r="D62" s="126">
        <v>130.30810458523101</v>
      </c>
      <c r="E62" s="126">
        <v>132.88740742750099</v>
      </c>
      <c r="F62" s="126">
        <v>139.268495700183</v>
      </c>
      <c r="G62" s="126">
        <v>138.60987542033899</v>
      </c>
      <c r="H62" s="126">
        <v>145.80767163047</v>
      </c>
      <c r="I62" s="126">
        <v>144.20448100232801</v>
      </c>
      <c r="J62" s="126">
        <v>149.29933838122199</v>
      </c>
      <c r="K62" s="126">
        <v>151.116252210167</v>
      </c>
      <c r="L62" s="126">
        <v>153.021054038709</v>
      </c>
      <c r="M62" s="126">
        <v>156.30197235769799</v>
      </c>
      <c r="N62" s="45">
        <v>161.84692646805399</v>
      </c>
      <c r="O62" s="125">
        <v>145.53443725307335</v>
      </c>
      <c r="P62" s="42">
        <f t="shared" si="2"/>
        <v>8.1429178221069654E-2</v>
      </c>
      <c r="Q62" s="76"/>
    </row>
    <row r="63" spans="1:17" ht="14.4" customHeight="1">
      <c r="A63" s="22"/>
      <c r="B63" s="206">
        <v>2020</v>
      </c>
      <c r="C63" s="127">
        <v>165.66273618239001</v>
      </c>
      <c r="D63" s="126">
        <v>166.26259281404799</v>
      </c>
      <c r="E63" s="126">
        <v>161.699726274178</v>
      </c>
      <c r="F63" s="126">
        <v>162.62956570415901</v>
      </c>
      <c r="G63" s="126">
        <v>162.99389000929099</v>
      </c>
      <c r="H63" s="123">
        <v>162.098011310652</v>
      </c>
      <c r="I63" s="123">
        <v>163.52635215402401</v>
      </c>
      <c r="J63" s="126">
        <v>165.81261271560501</v>
      </c>
      <c r="K63" s="126">
        <v>171.581899471242</v>
      </c>
      <c r="L63" s="126">
        <v>173.43972730166499</v>
      </c>
      <c r="M63" s="126">
        <v>178.63599345851301</v>
      </c>
      <c r="N63" s="45">
        <v>178.53092554520799</v>
      </c>
      <c r="O63" s="125">
        <v>168.26368149483511</v>
      </c>
      <c r="P63" s="42">
        <f t="shared" si="2"/>
        <v>0.15617777256552223</v>
      </c>
      <c r="Q63" s="76"/>
    </row>
    <row r="64" spans="1:17" ht="14.4" customHeight="1">
      <c r="A64" s="22"/>
      <c r="B64" s="206">
        <v>2021</v>
      </c>
      <c r="C64" s="127">
        <v>183.833775572837</v>
      </c>
      <c r="D64" s="126">
        <v>184.666990845378</v>
      </c>
      <c r="E64" s="126">
        <v>184.39559919622201</v>
      </c>
      <c r="F64" s="126">
        <v>196.076387564046</v>
      </c>
      <c r="G64" s="126">
        <v>202.12649373862399</v>
      </c>
      <c r="H64" s="126">
        <v>202.21670262025</v>
      </c>
      <c r="I64" s="126">
        <v>208.19042521461901</v>
      </c>
      <c r="J64" s="126">
        <v>208.587756030572</v>
      </c>
      <c r="K64" s="126">
        <v>208.269377189377</v>
      </c>
      <c r="L64" s="126">
        <v>204.39313692524399</v>
      </c>
      <c r="M64" s="126">
        <v>214.95631437532299</v>
      </c>
      <c r="N64" s="45">
        <v>217.01980907697401</v>
      </c>
      <c r="O64" s="125">
        <v>202.39368207160524</v>
      </c>
      <c r="P64" s="42">
        <f t="shared" si="2"/>
        <v>0.20283640696294736</v>
      </c>
      <c r="Q64" s="76"/>
    </row>
    <row r="65" spans="1:17" ht="15" customHeight="1">
      <c r="A65" s="22"/>
      <c r="B65" s="206">
        <v>2022</v>
      </c>
      <c r="C65" s="220">
        <v>216.79001571220013</v>
      </c>
      <c r="D65" s="221">
        <v>226.64554870050804</v>
      </c>
      <c r="E65" s="221">
        <v>227.73955313582309</v>
      </c>
      <c r="F65" s="221">
        <v>228.97282719467069</v>
      </c>
      <c r="G65" s="221">
        <v>228.72738590015763</v>
      </c>
      <c r="H65" s="221">
        <v>229.29570876269608</v>
      </c>
      <c r="I65" s="221">
        <v>229.39098853820036</v>
      </c>
      <c r="J65" s="221">
        <v>231.69824956367975</v>
      </c>
      <c r="K65" s="221">
        <v>228.49945637391272</v>
      </c>
      <c r="L65" s="221">
        <v>225.54470244442234</v>
      </c>
      <c r="M65" s="221">
        <v>223.700789758989</v>
      </c>
      <c r="N65" s="221">
        <v>223.57928029039209</v>
      </c>
      <c r="O65" s="125">
        <v>226.80714757233707</v>
      </c>
      <c r="P65" s="42">
        <f t="shared" si="2"/>
        <v>0.12062365411235776</v>
      </c>
      <c r="Q65" s="76"/>
    </row>
    <row r="66" spans="1:17" ht="15" customHeight="1">
      <c r="A66" s="22"/>
      <c r="B66" s="206">
        <v>2023</v>
      </c>
      <c r="C66" s="220">
        <v>223.61667427022641</v>
      </c>
      <c r="D66" s="221">
        <v>223.37743094456781</v>
      </c>
      <c r="E66" s="221">
        <v>223.45035527890556</v>
      </c>
      <c r="F66" s="221">
        <v>224.60841374117575</v>
      </c>
      <c r="G66" s="221">
        <v>225.16529116667317</v>
      </c>
      <c r="H66" s="221">
        <v>225.56252032653003</v>
      </c>
      <c r="I66" s="126">
        <v>225.41557860431038</v>
      </c>
      <c r="J66" s="126">
        <v>188.10478186531319</v>
      </c>
      <c r="K66" s="126">
        <v>185.91320301893305</v>
      </c>
      <c r="L66" s="126">
        <v>190.76195070245981</v>
      </c>
      <c r="M66" s="126">
        <v>192.128050061945</v>
      </c>
      <c r="N66" s="221">
        <v>188.9257810669904</v>
      </c>
      <c r="O66" s="125">
        <v>207.68821054046271</v>
      </c>
      <c r="P66" s="42">
        <f t="shared" si="2"/>
        <v>-8.4296007584049537E-2</v>
      </c>
      <c r="Q66" s="76"/>
    </row>
    <row r="67" spans="1:17" ht="15" customHeight="1">
      <c r="A67" s="22"/>
      <c r="B67" s="206">
        <v>2024</v>
      </c>
      <c r="C67" s="220">
        <v>188.99783012638693</v>
      </c>
      <c r="D67" s="303">
        <v>202.43435772782627</v>
      </c>
      <c r="E67" s="303">
        <v>203.58112786505814</v>
      </c>
      <c r="F67" s="303">
        <v>202.87944312331973</v>
      </c>
      <c r="G67" s="303">
        <v>202.8757525198271</v>
      </c>
      <c r="H67" s="221">
        <v>191.54099993368212</v>
      </c>
      <c r="I67" s="303">
        <v>209.03367671618076</v>
      </c>
      <c r="J67" s="303">
        <v>213.74334557958286</v>
      </c>
      <c r="K67" s="303">
        <v>218.25468366539627</v>
      </c>
      <c r="L67" s="303">
        <v>218.56370839909147</v>
      </c>
      <c r="M67" s="304">
        <v>224.83589204845512</v>
      </c>
      <c r="N67" s="304">
        <v>229.15116509350361</v>
      </c>
      <c r="O67" s="125">
        <v>208.70005270692596</v>
      </c>
      <c r="P67" s="42">
        <f t="shared" si="2"/>
        <v>4.8719287620138108E-3</v>
      </c>
      <c r="Q67" s="297"/>
    </row>
    <row r="68" spans="1:17" ht="15" customHeight="1" thickBot="1">
      <c r="A68" s="6"/>
      <c r="B68" s="207">
        <v>2025</v>
      </c>
      <c r="C68" s="305">
        <v>238.3837448020885</v>
      </c>
      <c r="D68" s="305">
        <v>231.72176237886342</v>
      </c>
      <c r="E68" s="305">
        <v>231.06207245224908</v>
      </c>
      <c r="F68" s="305">
        <v>225.00309556818544</v>
      </c>
      <c r="G68" s="305">
        <v>224.90133970231548</v>
      </c>
      <c r="H68" s="208">
        <v>223.81626618915374</v>
      </c>
      <c r="I68" s="296">
        <v>223.7078964055132</v>
      </c>
      <c r="J68" s="296">
        <v>224.430373967143</v>
      </c>
      <c r="K68" s="296">
        <v>224.41453376404644</v>
      </c>
      <c r="L68" s="208"/>
      <c r="M68" s="208"/>
      <c r="N68" s="208"/>
      <c r="O68" s="128"/>
      <c r="P68" s="50"/>
      <c r="Q68" s="95"/>
    </row>
    <row r="69" spans="1:17" ht="14.4" customHeight="1">
      <c r="A69" s="6"/>
      <c r="B69" s="87" t="s">
        <v>42</v>
      </c>
      <c r="C69" s="32"/>
      <c r="D69" s="32"/>
      <c r="E69" s="32"/>
      <c r="F69" s="32"/>
      <c r="G69" s="32"/>
      <c r="H69" s="7"/>
      <c r="I69" s="52"/>
      <c r="J69" s="52"/>
      <c r="K69" s="52"/>
      <c r="L69" s="283"/>
      <c r="M69" s="283"/>
      <c r="N69" s="284"/>
      <c r="O69" s="217"/>
      <c r="P69" s="112"/>
      <c r="Q69" s="113"/>
    </row>
    <row r="70" spans="1:17" ht="14.4" customHeight="1">
      <c r="A70" s="6"/>
      <c r="B70" s="14"/>
      <c r="C70" s="39"/>
      <c r="D70" s="39"/>
      <c r="E70" s="39"/>
      <c r="F70" s="39"/>
      <c r="G70" s="39"/>
      <c r="H70" s="7"/>
      <c r="I70" s="7"/>
      <c r="J70" s="7"/>
      <c r="K70" s="7"/>
      <c r="L70" s="7"/>
      <c r="M70" s="7"/>
      <c r="N70" s="39"/>
      <c r="O70" s="275"/>
      <c r="P70" s="115"/>
      <c r="Q70" s="113"/>
    </row>
    <row r="71" spans="1:17" ht="14.4" customHeight="1">
      <c r="A71" s="6"/>
      <c r="B71" s="60" t="s">
        <v>21</v>
      </c>
      <c r="C71" s="15"/>
      <c r="D71" s="15"/>
      <c r="E71" s="15"/>
      <c r="F71" s="15"/>
      <c r="G71" s="15"/>
      <c r="H71" s="15"/>
      <c r="I71" s="7"/>
      <c r="J71" s="7"/>
      <c r="K71" s="7"/>
      <c r="L71" s="7"/>
      <c r="M71" s="7"/>
      <c r="N71" s="7"/>
      <c r="O71" s="7"/>
      <c r="P71" s="7"/>
      <c r="Q71" s="95"/>
    </row>
    <row r="72" spans="1:17" ht="16.5" customHeight="1">
      <c r="A72" s="51"/>
      <c r="B72" s="129"/>
      <c r="C72" s="65" t="s">
        <v>22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95"/>
    </row>
    <row r="73" spans="1:17" ht="14.4" customHeight="1">
      <c r="A73" s="51"/>
      <c r="B73" s="64"/>
      <c r="C73" s="65" t="s">
        <v>23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17"/>
    </row>
    <row r="74" spans="1:17" ht="14.4" customHeight="1">
      <c r="A74" s="51"/>
      <c r="B74" s="130"/>
      <c r="C74" s="65" t="s">
        <v>24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95"/>
    </row>
    <row r="75" spans="1:17" ht="14.4" customHeight="1">
      <c r="A75" s="6"/>
      <c r="B75" s="8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5"/>
    </row>
    <row r="76" spans="1:17" ht="14.4" customHeight="1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95"/>
    </row>
    <row r="77" spans="1:17" ht="14.4" customHeight="1">
      <c r="A77" s="90"/>
      <c r="B77" s="91"/>
      <c r="C77" s="132"/>
      <c r="D77" s="132"/>
      <c r="E77" s="132"/>
      <c r="F77" s="133"/>
      <c r="G77" s="133"/>
      <c r="H77" s="133"/>
      <c r="I77" s="133"/>
      <c r="J77" s="133"/>
      <c r="K77" s="133"/>
      <c r="L77" s="132"/>
      <c r="M77" s="91"/>
      <c r="N77" s="91"/>
      <c r="O77" s="91"/>
      <c r="P77" s="91"/>
      <c r="Q77" s="134"/>
    </row>
  </sheetData>
  <mergeCells count="4">
    <mergeCell ref="F10:J10"/>
    <mergeCell ref="G12:I12"/>
    <mergeCell ref="G32:I32"/>
    <mergeCell ref="F52:J52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4"/>
  <sheetViews>
    <sheetView showGridLines="0" zoomScale="80" zoomScaleNormal="80" workbookViewId="0">
      <pane xSplit="2" ySplit="7" topLeftCell="C281" activePane="bottomRight" state="frozen"/>
      <selection pane="topRight" activeCell="C1" sqref="C1"/>
      <selection pane="bottomLeft" activeCell="A8" sqref="A8"/>
      <selection pane="bottomRight" activeCell="C292" sqref="C292:H292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4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5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5" t="s">
        <v>47</v>
      </c>
      <c r="M3" s="7"/>
      <c r="N3" s="7"/>
      <c r="O3" s="7"/>
      <c r="P3" s="7"/>
      <c r="Q3" s="7"/>
      <c r="R3" s="95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5" t="s">
        <v>48</v>
      </c>
      <c r="M4" s="7"/>
      <c r="N4" s="7"/>
      <c r="O4" s="7"/>
      <c r="P4" s="7"/>
      <c r="Q4" s="7"/>
      <c r="R4" s="95"/>
    </row>
    <row r="5" spans="1:18" ht="16.2" customHeight="1" thickBot="1">
      <c r="A5" s="6"/>
      <c r="B5" s="136"/>
      <c r="C5" s="335" t="s">
        <v>49</v>
      </c>
      <c r="D5" s="336"/>
      <c r="E5" s="336"/>
      <c r="F5" s="336"/>
      <c r="G5" s="336"/>
      <c r="H5" s="336"/>
      <c r="I5" s="336"/>
      <c r="J5" s="336"/>
      <c r="K5" s="337"/>
      <c r="L5" s="72"/>
      <c r="M5" s="7"/>
      <c r="N5" s="7"/>
      <c r="O5" s="7"/>
      <c r="P5" s="7"/>
      <c r="Q5" s="7"/>
      <c r="R5" s="95"/>
    </row>
    <row r="6" spans="1:18" ht="12" customHeight="1" thickBot="1">
      <c r="A6" s="6"/>
      <c r="B6" s="131"/>
      <c r="C6" s="20"/>
      <c r="D6" s="20"/>
      <c r="E6" s="20"/>
      <c r="F6" s="20"/>
      <c r="G6" s="20"/>
      <c r="H6" s="20"/>
      <c r="I6" s="20"/>
      <c r="J6" s="20"/>
      <c r="K6" s="20"/>
      <c r="L6" s="131"/>
      <c r="M6" s="7"/>
      <c r="N6" s="7"/>
      <c r="O6" s="7"/>
      <c r="P6" s="7"/>
      <c r="Q6" s="7"/>
      <c r="R6" s="95"/>
    </row>
    <row r="7" spans="1:18" ht="49.5" customHeight="1">
      <c r="A7" s="51"/>
      <c r="B7" s="137" t="s">
        <v>50</v>
      </c>
      <c r="C7" s="138" t="s">
        <v>51</v>
      </c>
      <c r="D7" s="139" t="s">
        <v>52</v>
      </c>
      <c r="E7" s="139" t="s">
        <v>53</v>
      </c>
      <c r="F7" s="140" t="s">
        <v>54</v>
      </c>
      <c r="G7" s="141" t="s">
        <v>55</v>
      </c>
      <c r="H7" s="139" t="s">
        <v>56</v>
      </c>
      <c r="I7" s="142" t="s">
        <v>57</v>
      </c>
      <c r="J7" s="141" t="s">
        <v>44</v>
      </c>
      <c r="K7" s="143" t="s">
        <v>58</v>
      </c>
      <c r="L7" s="144" t="s">
        <v>59</v>
      </c>
      <c r="M7" s="7"/>
      <c r="N7" s="7"/>
      <c r="O7" s="7"/>
      <c r="P7" s="7"/>
      <c r="Q7" s="7"/>
      <c r="R7" s="95"/>
    </row>
    <row r="8" spans="1:18" ht="14.4" customHeight="1">
      <c r="A8" s="51"/>
      <c r="B8" s="145">
        <v>37257</v>
      </c>
      <c r="C8" s="146">
        <v>1.84021900106215</v>
      </c>
      <c r="D8" s="147">
        <v>0</v>
      </c>
      <c r="E8" s="148">
        <f t="shared" ref="E8:E71" si="0">C8-D8</f>
        <v>1.84021900106215</v>
      </c>
      <c r="F8" s="146">
        <f t="shared" ref="F8:F71" si="1">C8/H8</f>
        <v>0.12837244513862225</v>
      </c>
      <c r="G8" s="148">
        <f t="shared" ref="G8:G71" si="2">E8/H8</f>
        <v>0.12837244513862225</v>
      </c>
      <c r="H8" s="149">
        <v>14.335000000000001</v>
      </c>
      <c r="I8" s="150">
        <v>3.5200000000000002E-2</v>
      </c>
      <c r="J8" s="151">
        <v>0.03</v>
      </c>
      <c r="K8" s="149">
        <f t="shared" ref="K8:K71" si="3">C8/1.03/(I8+J8)</f>
        <v>27.402153211360854</v>
      </c>
      <c r="L8" s="152" t="s">
        <v>60</v>
      </c>
      <c r="M8" s="7"/>
      <c r="N8" s="7"/>
      <c r="O8" s="7"/>
      <c r="P8" s="7"/>
      <c r="Q8" s="7"/>
      <c r="R8" s="95"/>
    </row>
    <row r="9" spans="1:18" ht="14.4" customHeight="1">
      <c r="A9" s="51"/>
      <c r="B9" s="153">
        <v>37288</v>
      </c>
      <c r="C9" s="154">
        <v>1.9389296086783401</v>
      </c>
      <c r="D9" s="155">
        <v>0</v>
      </c>
      <c r="E9" s="156">
        <f t="shared" si="0"/>
        <v>1.9389296086783401</v>
      </c>
      <c r="F9" s="154">
        <f t="shared" si="1"/>
        <v>0.13241341314473401</v>
      </c>
      <c r="G9" s="156">
        <f t="shared" si="2"/>
        <v>0.13241341314473401</v>
      </c>
      <c r="H9" s="157">
        <v>14.643000000000001</v>
      </c>
      <c r="I9" s="158">
        <v>3.5999999999999997E-2</v>
      </c>
      <c r="J9" s="159">
        <v>3.1099999999999999E-2</v>
      </c>
      <c r="K9" s="157">
        <f t="shared" si="3"/>
        <v>28.054484810069599</v>
      </c>
      <c r="L9" s="160" t="s">
        <v>60</v>
      </c>
      <c r="M9" s="7"/>
      <c r="N9" s="7"/>
      <c r="O9" s="7"/>
      <c r="P9" s="7"/>
      <c r="Q9" s="7"/>
      <c r="R9" s="95"/>
    </row>
    <row r="10" spans="1:18" ht="14.4" customHeight="1">
      <c r="A10" s="51"/>
      <c r="B10" s="153">
        <v>37316</v>
      </c>
      <c r="C10" s="154">
        <v>2.0463204879910499</v>
      </c>
      <c r="D10" s="155">
        <v>0</v>
      </c>
      <c r="E10" s="156">
        <f t="shared" si="0"/>
        <v>2.0463204879910499</v>
      </c>
      <c r="F10" s="154">
        <f t="shared" si="1"/>
        <v>0.13444944073528581</v>
      </c>
      <c r="G10" s="156">
        <f t="shared" si="2"/>
        <v>0.13444944073528581</v>
      </c>
      <c r="H10" s="157">
        <v>15.22</v>
      </c>
      <c r="I10" s="158">
        <v>3.6700000000000003E-2</v>
      </c>
      <c r="J10" s="159">
        <v>3.0800000000000001E-2</v>
      </c>
      <c r="K10" s="157">
        <f t="shared" si="3"/>
        <v>29.43287289451348</v>
      </c>
      <c r="L10" s="160" t="s">
        <v>60</v>
      </c>
      <c r="M10" s="7"/>
      <c r="N10" s="7"/>
      <c r="O10" s="7"/>
      <c r="P10" s="7"/>
      <c r="Q10" s="7"/>
      <c r="R10" s="95"/>
    </row>
    <row r="11" spans="1:18" ht="14.4" customHeight="1">
      <c r="A11" s="51"/>
      <c r="B11" s="153">
        <v>37347</v>
      </c>
      <c r="C11" s="154">
        <v>2.1911293104526601</v>
      </c>
      <c r="D11" s="155">
        <v>0</v>
      </c>
      <c r="E11" s="156">
        <f t="shared" si="0"/>
        <v>2.1911293104526601</v>
      </c>
      <c r="F11" s="154">
        <f t="shared" si="1"/>
        <v>0.13386664897682432</v>
      </c>
      <c r="G11" s="156">
        <f t="shared" si="2"/>
        <v>0.13386664897682432</v>
      </c>
      <c r="H11" s="157">
        <v>16.367999999999999</v>
      </c>
      <c r="I11" s="158">
        <v>3.6200000000000003E-2</v>
      </c>
      <c r="J11" s="159">
        <v>3.1600000000000003E-2</v>
      </c>
      <c r="K11" s="157">
        <f t="shared" si="3"/>
        <v>31.376253836994305</v>
      </c>
      <c r="L11" s="160" t="s">
        <v>60</v>
      </c>
      <c r="M11" s="7"/>
      <c r="N11" s="7"/>
      <c r="O11" s="7"/>
      <c r="P11" s="7"/>
      <c r="Q11" s="7"/>
      <c r="R11" s="95"/>
    </row>
    <row r="12" spans="1:18" ht="14.4" customHeight="1">
      <c r="A12" s="51"/>
      <c r="B12" s="153">
        <v>37377</v>
      </c>
      <c r="C12" s="154">
        <v>2.1898359248155899</v>
      </c>
      <c r="D12" s="155">
        <v>0</v>
      </c>
      <c r="E12" s="156">
        <f t="shared" si="0"/>
        <v>2.1898359248155899</v>
      </c>
      <c r="F12" s="154">
        <f t="shared" si="1"/>
        <v>0.12846626333542122</v>
      </c>
      <c r="G12" s="156">
        <f t="shared" si="2"/>
        <v>0.12846626333542122</v>
      </c>
      <c r="H12" s="157">
        <v>17.045999999999999</v>
      </c>
      <c r="I12" s="158">
        <v>3.7600000000000001E-2</v>
      </c>
      <c r="J12" s="159">
        <v>3.1399999999999997E-2</v>
      </c>
      <c r="K12" s="157">
        <f t="shared" si="3"/>
        <v>30.812381100542982</v>
      </c>
      <c r="L12" s="160" t="s">
        <v>60</v>
      </c>
      <c r="M12" s="7"/>
      <c r="N12" s="7"/>
      <c r="O12" s="7"/>
      <c r="P12" s="7"/>
      <c r="Q12" s="7"/>
      <c r="R12" s="95"/>
    </row>
    <row r="13" spans="1:18" ht="14.4" customHeight="1">
      <c r="A13" s="51"/>
      <c r="B13" s="153">
        <v>37408</v>
      </c>
      <c r="C13" s="154">
        <v>2.19793088410445</v>
      </c>
      <c r="D13" s="155">
        <v>0</v>
      </c>
      <c r="E13" s="156">
        <f t="shared" si="0"/>
        <v>2.19793088410445</v>
      </c>
      <c r="F13" s="154">
        <f t="shared" si="1"/>
        <v>0.1233960747869105</v>
      </c>
      <c r="G13" s="156">
        <f t="shared" si="2"/>
        <v>0.1233960747869105</v>
      </c>
      <c r="H13" s="157">
        <v>17.812000000000001</v>
      </c>
      <c r="I13" s="158">
        <v>3.6600000000000001E-2</v>
      </c>
      <c r="J13" s="159">
        <v>3.1300000000000001E-2</v>
      </c>
      <c r="K13" s="157">
        <f t="shared" si="3"/>
        <v>31.42729719754136</v>
      </c>
      <c r="L13" s="160" t="s">
        <v>60</v>
      </c>
      <c r="M13" s="7"/>
      <c r="N13" s="7"/>
      <c r="O13" s="7"/>
      <c r="P13" s="7"/>
      <c r="Q13" s="7"/>
      <c r="R13" s="95"/>
    </row>
    <row r="14" spans="1:18" ht="14.4" customHeight="1">
      <c r="A14" s="51"/>
      <c r="B14" s="153">
        <v>37438</v>
      </c>
      <c r="C14" s="154">
        <v>2.2111885110099099</v>
      </c>
      <c r="D14" s="155">
        <v>0</v>
      </c>
      <c r="E14" s="156">
        <f t="shared" si="0"/>
        <v>2.2111885110099099</v>
      </c>
      <c r="F14" s="154">
        <f t="shared" si="1"/>
        <v>9.7693227490055226E-2</v>
      </c>
      <c r="G14" s="156">
        <f t="shared" si="2"/>
        <v>9.7693227490055226E-2</v>
      </c>
      <c r="H14" s="157">
        <v>22.634</v>
      </c>
      <c r="I14" s="158">
        <v>3.5299999999999998E-2</v>
      </c>
      <c r="J14" s="159">
        <v>3.0499999999999999E-2</v>
      </c>
      <c r="K14" s="157">
        <f t="shared" si="3"/>
        <v>32.625911278807656</v>
      </c>
      <c r="L14" s="160" t="s">
        <v>60</v>
      </c>
      <c r="M14" s="7"/>
      <c r="N14" s="7"/>
      <c r="O14" s="7"/>
      <c r="P14" s="7"/>
      <c r="Q14" s="7"/>
      <c r="R14" s="95"/>
    </row>
    <row r="15" spans="1:18" ht="14.4" customHeight="1">
      <c r="A15" s="51"/>
      <c r="B15" s="153">
        <v>37469</v>
      </c>
      <c r="C15" s="154">
        <v>2.4464783875238298</v>
      </c>
      <c r="D15" s="155">
        <v>0</v>
      </c>
      <c r="E15" s="156">
        <f t="shared" si="0"/>
        <v>2.4464783875238298</v>
      </c>
      <c r="F15" s="154">
        <f t="shared" si="1"/>
        <v>9.1655866459007557E-2</v>
      </c>
      <c r="G15" s="156">
        <f t="shared" si="2"/>
        <v>9.1655866459007557E-2</v>
      </c>
      <c r="H15" s="157">
        <v>26.692</v>
      </c>
      <c r="I15" s="158">
        <v>3.3599999999999998E-2</v>
      </c>
      <c r="J15" s="159">
        <v>3.0200000000000001E-2</v>
      </c>
      <c r="K15" s="157">
        <f t="shared" si="3"/>
        <v>37.229180806583528</v>
      </c>
      <c r="L15" s="160" t="s">
        <v>60</v>
      </c>
      <c r="M15" s="7"/>
      <c r="N15" s="7"/>
      <c r="O15" s="7"/>
      <c r="P15" s="7"/>
      <c r="Q15" s="7"/>
      <c r="R15" s="95"/>
    </row>
    <row r="16" spans="1:18" ht="14.4" customHeight="1">
      <c r="A16" s="51"/>
      <c r="B16" s="153">
        <v>37500</v>
      </c>
      <c r="C16" s="154">
        <v>2.4145018618058001</v>
      </c>
      <c r="D16" s="155">
        <v>0</v>
      </c>
      <c r="E16" s="156">
        <f t="shared" si="0"/>
        <v>2.4145018618058001</v>
      </c>
      <c r="F16" s="154">
        <f t="shared" si="1"/>
        <v>8.3379441322114792E-2</v>
      </c>
      <c r="G16" s="156">
        <f t="shared" si="2"/>
        <v>8.3379441322114792E-2</v>
      </c>
      <c r="H16" s="157">
        <v>28.957999999999998</v>
      </c>
      <c r="I16" s="158">
        <v>3.3500000000000002E-2</v>
      </c>
      <c r="J16" s="159">
        <v>3.1099999999999999E-2</v>
      </c>
      <c r="K16" s="157">
        <f t="shared" si="3"/>
        <v>36.287562923529414</v>
      </c>
      <c r="L16" s="160" t="s">
        <v>60</v>
      </c>
      <c r="M16" s="7"/>
      <c r="N16" s="7"/>
      <c r="O16" s="7"/>
      <c r="P16" s="7"/>
      <c r="Q16" s="7"/>
      <c r="R16" s="95"/>
    </row>
    <row r="17" spans="1:18" ht="14.4" customHeight="1">
      <c r="A17" s="51"/>
      <c r="B17" s="153">
        <v>37530</v>
      </c>
      <c r="C17" s="154">
        <v>2.77888691080895</v>
      </c>
      <c r="D17" s="155">
        <v>0</v>
      </c>
      <c r="E17" s="156">
        <f t="shared" si="0"/>
        <v>2.77888691080895</v>
      </c>
      <c r="F17" s="154">
        <f t="shared" si="1"/>
        <v>0.10288744162349402</v>
      </c>
      <c r="G17" s="156">
        <f t="shared" si="2"/>
        <v>0.10288744162349402</v>
      </c>
      <c r="H17" s="157">
        <v>27.009</v>
      </c>
      <c r="I17" s="158">
        <v>3.3599999999999998E-2</v>
      </c>
      <c r="J17" s="159">
        <v>3.1300000000000001E-2</v>
      </c>
      <c r="K17" s="157">
        <f t="shared" si="3"/>
        <v>41.570854500709828</v>
      </c>
      <c r="L17" s="160" t="s">
        <v>60</v>
      </c>
      <c r="M17" s="7"/>
      <c r="N17" s="7"/>
      <c r="O17" s="7"/>
      <c r="P17" s="7"/>
      <c r="Q17" s="7"/>
      <c r="R17" s="95"/>
    </row>
    <row r="18" spans="1:18" ht="14.4" customHeight="1">
      <c r="A18" s="51"/>
      <c r="B18" s="153">
        <v>37561</v>
      </c>
      <c r="C18" s="154">
        <v>2.5104422311997401</v>
      </c>
      <c r="D18" s="155">
        <v>0</v>
      </c>
      <c r="E18" s="156">
        <f t="shared" si="0"/>
        <v>2.5104422311997401</v>
      </c>
      <c r="F18" s="154">
        <f t="shared" si="1"/>
        <v>9.2343199852855884E-2</v>
      </c>
      <c r="G18" s="156">
        <f t="shared" si="2"/>
        <v>9.2343199852855884E-2</v>
      </c>
      <c r="H18" s="157">
        <v>27.186</v>
      </c>
      <c r="I18" s="158">
        <v>3.3799999999999997E-2</v>
      </c>
      <c r="J18" s="159">
        <v>3.0700000000000002E-2</v>
      </c>
      <c r="K18" s="157">
        <f t="shared" si="3"/>
        <v>37.787946582369834</v>
      </c>
      <c r="L18" s="160" t="s">
        <v>60</v>
      </c>
      <c r="M18" s="7"/>
      <c r="N18" s="7"/>
      <c r="O18" s="7"/>
      <c r="P18" s="7"/>
      <c r="Q18" s="7"/>
      <c r="R18" s="95"/>
    </row>
    <row r="19" spans="1:18" ht="14.4" customHeight="1">
      <c r="A19" s="51"/>
      <c r="B19" s="161">
        <v>37591</v>
      </c>
      <c r="C19" s="162">
        <v>2.7192080836477999</v>
      </c>
      <c r="D19" s="163">
        <v>0</v>
      </c>
      <c r="E19" s="164">
        <f t="shared" si="0"/>
        <v>2.7192080836477999</v>
      </c>
      <c r="F19" s="162">
        <f t="shared" si="1"/>
        <v>9.9787452610928432E-2</v>
      </c>
      <c r="G19" s="164">
        <f t="shared" si="2"/>
        <v>9.9787452610928432E-2</v>
      </c>
      <c r="H19" s="165">
        <v>27.25</v>
      </c>
      <c r="I19" s="166">
        <v>3.4299999999999997E-2</v>
      </c>
      <c r="J19" s="167">
        <v>3.0300000000000001E-2</v>
      </c>
      <c r="K19" s="165">
        <f t="shared" si="3"/>
        <v>40.86699455420662</v>
      </c>
      <c r="L19" s="168" t="s">
        <v>60</v>
      </c>
      <c r="M19" s="7"/>
      <c r="N19" s="7"/>
      <c r="O19" s="7"/>
      <c r="P19" s="7"/>
      <c r="Q19" s="7"/>
      <c r="R19" s="95"/>
    </row>
    <row r="20" spans="1:18" ht="14.4" customHeight="1">
      <c r="A20" s="51"/>
      <c r="B20" s="145">
        <v>37622</v>
      </c>
      <c r="C20" s="146">
        <v>2.7195373159418899</v>
      </c>
      <c r="D20" s="147">
        <v>0</v>
      </c>
      <c r="E20" s="148">
        <f t="shared" si="0"/>
        <v>2.7195373159418899</v>
      </c>
      <c r="F20" s="146">
        <f t="shared" si="1"/>
        <v>9.7765298772041917E-2</v>
      </c>
      <c r="G20" s="148">
        <f t="shared" si="2"/>
        <v>9.7765298772041917E-2</v>
      </c>
      <c r="H20" s="149">
        <v>27.817</v>
      </c>
      <c r="I20" s="150">
        <v>3.6700000000000003E-2</v>
      </c>
      <c r="J20" s="151">
        <v>3.0300000000000001E-2</v>
      </c>
      <c r="K20" s="149">
        <f t="shared" si="3"/>
        <v>39.407873003070421</v>
      </c>
      <c r="L20" s="152" t="s">
        <v>61</v>
      </c>
      <c r="M20" s="7"/>
      <c r="N20" s="7"/>
      <c r="O20" s="7"/>
      <c r="P20" s="7"/>
      <c r="Q20" s="7"/>
      <c r="R20" s="95"/>
    </row>
    <row r="21" spans="1:18" ht="14.4" customHeight="1">
      <c r="A21" s="51"/>
      <c r="B21" s="153">
        <v>37653</v>
      </c>
      <c r="C21" s="154">
        <v>2.9293686479745702</v>
      </c>
      <c r="D21" s="155">
        <v>0</v>
      </c>
      <c r="E21" s="156">
        <f t="shared" si="0"/>
        <v>2.9293686479745702</v>
      </c>
      <c r="F21" s="154">
        <f t="shared" si="1"/>
        <v>0.10278486484121299</v>
      </c>
      <c r="G21" s="156">
        <f t="shared" si="2"/>
        <v>0.10278486484121299</v>
      </c>
      <c r="H21" s="157">
        <v>28.5</v>
      </c>
      <c r="I21" s="158">
        <v>3.78E-2</v>
      </c>
      <c r="J21" s="159">
        <v>3.09E-2</v>
      </c>
      <c r="K21" s="157">
        <f t="shared" si="3"/>
        <v>41.398067409654615</v>
      </c>
      <c r="L21" s="160" t="s">
        <v>61</v>
      </c>
      <c r="M21" s="7"/>
      <c r="N21" s="7"/>
      <c r="O21" s="7"/>
      <c r="P21" s="7"/>
      <c r="Q21" s="7"/>
      <c r="R21" s="95"/>
    </row>
    <row r="22" spans="1:18" ht="14.4" customHeight="1">
      <c r="A22" s="51"/>
      <c r="B22" s="153">
        <v>37681</v>
      </c>
      <c r="C22" s="154">
        <v>3.4185233892525</v>
      </c>
      <c r="D22" s="155">
        <v>0</v>
      </c>
      <c r="E22" s="156">
        <f t="shared" si="0"/>
        <v>3.4185233892525</v>
      </c>
      <c r="F22" s="154">
        <f t="shared" si="1"/>
        <v>0.11897137151988932</v>
      </c>
      <c r="G22" s="156">
        <f t="shared" si="2"/>
        <v>0.11897137151988932</v>
      </c>
      <c r="H22" s="157">
        <v>28.734000000000002</v>
      </c>
      <c r="I22" s="158">
        <v>3.8199999999999998E-2</v>
      </c>
      <c r="J22" s="159">
        <v>3.2000000000000001E-2</v>
      </c>
      <c r="K22" s="157">
        <f t="shared" si="3"/>
        <v>47.278557647394408</v>
      </c>
      <c r="L22" s="160" t="s">
        <v>61</v>
      </c>
      <c r="M22" s="7"/>
      <c r="N22" s="7"/>
      <c r="O22" s="7"/>
      <c r="P22" s="7"/>
      <c r="Q22" s="7"/>
      <c r="R22" s="95"/>
    </row>
    <row r="23" spans="1:18" ht="14.4" customHeight="1">
      <c r="A23" s="51"/>
      <c r="B23" s="153">
        <v>37712</v>
      </c>
      <c r="C23" s="154">
        <v>3.4641721620218702</v>
      </c>
      <c r="D23" s="155">
        <v>0</v>
      </c>
      <c r="E23" s="156">
        <f t="shared" si="0"/>
        <v>3.4641721620218702</v>
      </c>
      <c r="F23" s="154">
        <f t="shared" si="1"/>
        <v>0.12044267304157813</v>
      </c>
      <c r="G23" s="156">
        <f t="shared" si="2"/>
        <v>0.12044267304157813</v>
      </c>
      <c r="H23" s="157">
        <v>28.762</v>
      </c>
      <c r="I23" s="158">
        <v>3.9300000000000002E-2</v>
      </c>
      <c r="J23" s="159">
        <v>3.2399999999999998E-2</v>
      </c>
      <c r="K23" s="157">
        <f t="shared" si="3"/>
        <v>46.907586383689733</v>
      </c>
      <c r="L23" s="160" t="s">
        <v>61</v>
      </c>
      <c r="M23" s="7"/>
      <c r="N23" s="7"/>
      <c r="O23" s="7"/>
      <c r="P23" s="7"/>
      <c r="Q23" s="7"/>
      <c r="R23" s="95"/>
    </row>
    <row r="24" spans="1:18" ht="14.4" customHeight="1">
      <c r="A24" s="51"/>
      <c r="B24" s="153">
        <v>37742</v>
      </c>
      <c r="C24" s="154">
        <v>3.48542496685794</v>
      </c>
      <c r="D24" s="155">
        <v>0</v>
      </c>
      <c r="E24" s="156">
        <f t="shared" si="0"/>
        <v>3.48542496685794</v>
      </c>
      <c r="F24" s="154">
        <f t="shared" si="1"/>
        <v>0.11951940768321584</v>
      </c>
      <c r="G24" s="156">
        <f t="shared" si="2"/>
        <v>0.11951940768321584</v>
      </c>
      <c r="H24" s="157">
        <v>29.161999999999999</v>
      </c>
      <c r="I24" s="158">
        <v>3.9600000000000003E-2</v>
      </c>
      <c r="J24" s="159">
        <v>3.1800000000000002E-2</v>
      </c>
      <c r="K24" s="157">
        <f t="shared" si="3"/>
        <v>47.393665753690946</v>
      </c>
      <c r="L24" s="160" t="s">
        <v>61</v>
      </c>
      <c r="M24" s="7"/>
      <c r="N24" s="7"/>
      <c r="O24" s="7"/>
      <c r="P24" s="7"/>
      <c r="Q24" s="7"/>
      <c r="R24" s="95"/>
    </row>
    <row r="25" spans="1:18" ht="14.4" customHeight="1">
      <c r="A25" s="51"/>
      <c r="B25" s="153">
        <v>37773</v>
      </c>
      <c r="C25" s="154">
        <v>3.88843552299012</v>
      </c>
      <c r="D25" s="155">
        <v>0</v>
      </c>
      <c r="E25" s="156">
        <f t="shared" si="0"/>
        <v>3.88843552299012</v>
      </c>
      <c r="F25" s="154">
        <f t="shared" si="1"/>
        <v>0.14556341567739003</v>
      </c>
      <c r="G25" s="156">
        <f t="shared" si="2"/>
        <v>0.14556341567739003</v>
      </c>
      <c r="H25" s="157">
        <v>26.713000000000001</v>
      </c>
      <c r="I25" s="158">
        <v>3.8100000000000002E-2</v>
      </c>
      <c r="J25" s="159">
        <v>3.1800000000000002E-2</v>
      </c>
      <c r="K25" s="157">
        <f t="shared" si="3"/>
        <v>54.008299276221507</v>
      </c>
      <c r="L25" s="160" t="s">
        <v>61</v>
      </c>
      <c r="M25" s="7"/>
      <c r="N25" s="7"/>
      <c r="O25" s="7"/>
      <c r="P25" s="7"/>
      <c r="Q25" s="7"/>
      <c r="R25" s="95"/>
    </row>
    <row r="26" spans="1:18" ht="14.4" customHeight="1">
      <c r="A26" s="51"/>
      <c r="B26" s="153">
        <v>37803</v>
      </c>
      <c r="C26" s="154">
        <v>3.8359177424105901</v>
      </c>
      <c r="D26" s="155">
        <v>0</v>
      </c>
      <c r="E26" s="156">
        <f t="shared" si="0"/>
        <v>3.8359177424105901</v>
      </c>
      <c r="F26" s="154">
        <f t="shared" si="1"/>
        <v>0.14246676852035617</v>
      </c>
      <c r="G26" s="156">
        <f t="shared" si="2"/>
        <v>0.14246676852035617</v>
      </c>
      <c r="H26" s="157">
        <v>26.925000000000001</v>
      </c>
      <c r="I26" s="158">
        <v>3.6900000000000002E-2</v>
      </c>
      <c r="J26" s="159">
        <v>3.1600000000000003E-2</v>
      </c>
      <c r="K26" s="157">
        <f t="shared" si="3"/>
        <v>54.367766174056975</v>
      </c>
      <c r="L26" s="160" t="s">
        <v>61</v>
      </c>
      <c r="M26" s="7"/>
      <c r="N26" s="7"/>
      <c r="O26" s="7"/>
      <c r="P26" s="7"/>
      <c r="Q26" s="7"/>
      <c r="R26" s="95"/>
    </row>
    <row r="27" spans="1:18" ht="14.4" customHeight="1">
      <c r="A27" s="51"/>
      <c r="B27" s="153">
        <v>37834</v>
      </c>
      <c r="C27" s="154">
        <v>3.8289739925928998</v>
      </c>
      <c r="D27" s="155">
        <v>0</v>
      </c>
      <c r="E27" s="156">
        <f t="shared" si="0"/>
        <v>3.8289739925928998</v>
      </c>
      <c r="F27" s="154">
        <f t="shared" si="1"/>
        <v>0.13770810978575435</v>
      </c>
      <c r="G27" s="156">
        <f t="shared" si="2"/>
        <v>0.13770810978575435</v>
      </c>
      <c r="H27" s="157">
        <v>27.805</v>
      </c>
      <c r="I27" s="158">
        <v>3.5900000000000001E-2</v>
      </c>
      <c r="J27" s="159">
        <v>3.15E-2</v>
      </c>
      <c r="K27" s="157">
        <f t="shared" si="3"/>
        <v>55.155051606016819</v>
      </c>
      <c r="L27" s="160" t="s">
        <v>61</v>
      </c>
      <c r="M27" s="7"/>
      <c r="N27" s="7"/>
      <c r="O27" s="7"/>
      <c r="P27" s="7"/>
      <c r="Q27" s="7"/>
      <c r="R27" s="95"/>
    </row>
    <row r="28" spans="1:18" ht="14.4" customHeight="1">
      <c r="A28" s="51"/>
      <c r="B28" s="153">
        <v>37865</v>
      </c>
      <c r="C28" s="154">
        <v>3.8155056871358402</v>
      </c>
      <c r="D28" s="155">
        <v>0</v>
      </c>
      <c r="E28" s="156">
        <f t="shared" si="0"/>
        <v>3.8155056871358402</v>
      </c>
      <c r="F28" s="154">
        <f t="shared" si="1"/>
        <v>0.13695774030424063</v>
      </c>
      <c r="G28" s="156">
        <f t="shared" si="2"/>
        <v>0.13695774030424063</v>
      </c>
      <c r="H28" s="157">
        <v>27.859000000000002</v>
      </c>
      <c r="I28" s="158">
        <v>3.5099999999999999E-2</v>
      </c>
      <c r="J28" s="159">
        <v>3.2199999999999999E-2</v>
      </c>
      <c r="K28" s="157">
        <f t="shared" si="3"/>
        <v>55.042711047993194</v>
      </c>
      <c r="L28" s="160" t="s">
        <v>61</v>
      </c>
      <c r="M28" s="7"/>
      <c r="N28" s="7"/>
      <c r="O28" s="7"/>
      <c r="P28" s="7"/>
      <c r="Q28" s="7"/>
      <c r="R28" s="95"/>
    </row>
    <row r="29" spans="1:18" ht="14.4" customHeight="1">
      <c r="A29" s="51"/>
      <c r="B29" s="153">
        <v>37895</v>
      </c>
      <c r="C29" s="154">
        <v>3.7790245303646102</v>
      </c>
      <c r="D29" s="155">
        <v>0</v>
      </c>
      <c r="E29" s="156">
        <f t="shared" si="0"/>
        <v>3.7790245303646102</v>
      </c>
      <c r="F29" s="154">
        <f t="shared" si="1"/>
        <v>0.13373764130532648</v>
      </c>
      <c r="G29" s="156">
        <f t="shared" si="2"/>
        <v>0.13373764130532648</v>
      </c>
      <c r="H29" s="157">
        <v>28.257000000000001</v>
      </c>
      <c r="I29" s="158">
        <v>3.4599999999999999E-2</v>
      </c>
      <c r="J29" s="159">
        <v>3.2300000000000002E-2</v>
      </c>
      <c r="K29" s="157">
        <f t="shared" si="3"/>
        <v>54.842389457741739</v>
      </c>
      <c r="L29" s="160" t="s">
        <v>61</v>
      </c>
      <c r="M29" s="7"/>
      <c r="N29" s="7"/>
      <c r="O29" s="7"/>
      <c r="P29" s="7"/>
      <c r="Q29" s="7"/>
      <c r="R29" s="95"/>
    </row>
    <row r="30" spans="1:18" ht="14.4" customHeight="1">
      <c r="A30" s="51"/>
      <c r="B30" s="153">
        <v>37926</v>
      </c>
      <c r="C30" s="154">
        <v>3.7461694378702299</v>
      </c>
      <c r="D30" s="155">
        <v>0</v>
      </c>
      <c r="E30" s="156">
        <f t="shared" si="0"/>
        <v>3.7461694378702299</v>
      </c>
      <c r="F30" s="154">
        <f t="shared" si="1"/>
        <v>0.12969255453938824</v>
      </c>
      <c r="G30" s="156">
        <f t="shared" si="2"/>
        <v>0.12969255453938824</v>
      </c>
      <c r="H30" s="157">
        <v>28.885000000000002</v>
      </c>
      <c r="I30" s="158">
        <v>3.5400000000000001E-2</v>
      </c>
      <c r="J30" s="159">
        <v>3.1600000000000003E-2</v>
      </c>
      <c r="K30" s="157">
        <f t="shared" si="3"/>
        <v>54.284443383136207</v>
      </c>
      <c r="L30" s="160" t="s">
        <v>61</v>
      </c>
      <c r="M30" s="7"/>
      <c r="N30" s="7"/>
      <c r="O30" s="7"/>
      <c r="P30" s="7"/>
      <c r="Q30" s="7"/>
      <c r="R30" s="95"/>
    </row>
    <row r="31" spans="1:18" ht="14.4" customHeight="1">
      <c r="A31" s="51"/>
      <c r="B31" s="161">
        <v>37956</v>
      </c>
      <c r="C31" s="162">
        <v>3.7211031377778698</v>
      </c>
      <c r="D31" s="163">
        <v>0</v>
      </c>
      <c r="E31" s="164">
        <f t="shared" si="0"/>
        <v>3.7211031377778698</v>
      </c>
      <c r="F31" s="162">
        <f t="shared" si="1"/>
        <v>0.12726941438463199</v>
      </c>
      <c r="G31" s="164">
        <f t="shared" si="2"/>
        <v>0.12726941438463199</v>
      </c>
      <c r="H31" s="165">
        <v>29.238</v>
      </c>
      <c r="I31" s="166">
        <v>3.56E-2</v>
      </c>
      <c r="J31" s="167">
        <v>3.09E-2</v>
      </c>
      <c r="K31" s="165">
        <f t="shared" si="3"/>
        <v>54.326638992304105</v>
      </c>
      <c r="L31" s="168" t="s">
        <v>61</v>
      </c>
      <c r="M31" s="7"/>
      <c r="N31" s="7"/>
      <c r="O31" s="7"/>
      <c r="P31" s="7"/>
      <c r="Q31" s="7"/>
      <c r="R31" s="95"/>
    </row>
    <row r="32" spans="1:18" ht="14.4" customHeight="1">
      <c r="A32" s="51"/>
      <c r="B32" s="145">
        <v>37987</v>
      </c>
      <c r="C32" s="146">
        <v>3.8102893729845602</v>
      </c>
      <c r="D32" s="147">
        <v>0</v>
      </c>
      <c r="E32" s="148">
        <f t="shared" si="0"/>
        <v>3.8102893729845602</v>
      </c>
      <c r="F32" s="146">
        <f t="shared" si="1"/>
        <v>0.12953558976660073</v>
      </c>
      <c r="G32" s="148">
        <f t="shared" si="2"/>
        <v>0.12953558976660073</v>
      </c>
      <c r="H32" s="149">
        <v>29.414999999999999</v>
      </c>
      <c r="I32" s="150">
        <v>3.6200000000000003E-2</v>
      </c>
      <c r="J32" s="151">
        <v>3.0499999999999999E-2</v>
      </c>
      <c r="K32" s="149">
        <f t="shared" si="3"/>
        <v>55.461920102830518</v>
      </c>
      <c r="L32" s="152" t="s">
        <v>62</v>
      </c>
      <c r="M32" s="7"/>
      <c r="N32" s="7"/>
      <c r="O32" s="7"/>
      <c r="P32" s="7"/>
      <c r="Q32" s="7"/>
      <c r="R32" s="95"/>
    </row>
    <row r="33" spans="1:18" ht="14.4" customHeight="1">
      <c r="A33" s="51"/>
      <c r="B33" s="153">
        <v>38018</v>
      </c>
      <c r="C33" s="154">
        <v>3.8941636765347201</v>
      </c>
      <c r="D33" s="155">
        <v>0</v>
      </c>
      <c r="E33" s="156">
        <f t="shared" si="0"/>
        <v>3.8941636765347201</v>
      </c>
      <c r="F33" s="154">
        <f t="shared" si="1"/>
        <v>0.13193846100405623</v>
      </c>
      <c r="G33" s="156">
        <f t="shared" si="2"/>
        <v>0.13193846100405623</v>
      </c>
      <c r="H33" s="157">
        <v>29.515000000000001</v>
      </c>
      <c r="I33" s="158">
        <v>3.6999999999999998E-2</v>
      </c>
      <c r="J33" s="159">
        <v>3.1E-2</v>
      </c>
      <c r="K33" s="157">
        <f t="shared" si="3"/>
        <v>55.599138728365503</v>
      </c>
      <c r="L33" s="160" t="s">
        <v>62</v>
      </c>
      <c r="M33" s="7"/>
      <c r="N33" s="7"/>
      <c r="O33" s="7"/>
      <c r="P33" s="7"/>
      <c r="Q33" s="7"/>
      <c r="R33" s="95"/>
    </row>
    <row r="34" spans="1:18" ht="14.4" customHeight="1">
      <c r="A34" s="51"/>
      <c r="B34" s="153">
        <v>38047</v>
      </c>
      <c r="C34" s="154">
        <v>4.1238232142902396</v>
      </c>
      <c r="D34" s="155">
        <v>0</v>
      </c>
      <c r="E34" s="156">
        <f t="shared" si="0"/>
        <v>4.1238232142902396</v>
      </c>
      <c r="F34" s="154">
        <f t="shared" si="1"/>
        <v>0.1392901173508829</v>
      </c>
      <c r="G34" s="156">
        <f t="shared" si="2"/>
        <v>0.1392901173508829</v>
      </c>
      <c r="H34" s="157">
        <v>29.606000000000002</v>
      </c>
      <c r="I34" s="158">
        <v>3.8199999999999998E-2</v>
      </c>
      <c r="J34" s="159">
        <v>3.1800000000000002E-2</v>
      </c>
      <c r="K34" s="157">
        <f t="shared" si="3"/>
        <v>57.195883693345891</v>
      </c>
      <c r="L34" s="160" t="s">
        <v>62</v>
      </c>
      <c r="M34" s="7"/>
      <c r="N34" s="7"/>
      <c r="O34" s="7"/>
      <c r="P34" s="7"/>
      <c r="Q34" s="7"/>
      <c r="R34" s="95"/>
    </row>
    <row r="35" spans="1:18" ht="14.4" customHeight="1">
      <c r="A35" s="51"/>
      <c r="B35" s="153">
        <v>38078</v>
      </c>
      <c r="C35" s="154">
        <v>4.2020368147104898</v>
      </c>
      <c r="D35" s="155">
        <v>0</v>
      </c>
      <c r="E35" s="156">
        <f t="shared" si="0"/>
        <v>4.2020368147104898</v>
      </c>
      <c r="F35" s="154">
        <f t="shared" si="1"/>
        <v>0.14172130909647521</v>
      </c>
      <c r="G35" s="156">
        <f t="shared" si="2"/>
        <v>0.14172130909647521</v>
      </c>
      <c r="H35" s="157">
        <v>29.65</v>
      </c>
      <c r="I35" s="158">
        <v>3.8600000000000002E-2</v>
      </c>
      <c r="J35" s="159">
        <v>3.1199999999999999E-2</v>
      </c>
      <c r="K35" s="157">
        <f t="shared" si="3"/>
        <v>58.44767038571355</v>
      </c>
      <c r="L35" s="160" t="s">
        <v>62</v>
      </c>
      <c r="M35" s="7"/>
      <c r="N35" s="7"/>
      <c r="O35" s="7"/>
      <c r="P35" s="7"/>
      <c r="Q35" s="7"/>
      <c r="R35" s="95"/>
    </row>
    <row r="36" spans="1:18" ht="14.4" customHeight="1">
      <c r="A36" s="51"/>
      <c r="B36" s="153">
        <v>38108</v>
      </c>
      <c r="C36" s="154">
        <v>4.3905348575378502</v>
      </c>
      <c r="D36" s="155">
        <v>0</v>
      </c>
      <c r="E36" s="156">
        <f t="shared" si="0"/>
        <v>4.3905348575378502</v>
      </c>
      <c r="F36" s="154">
        <f t="shared" si="1"/>
        <v>0.1475264560175347</v>
      </c>
      <c r="G36" s="156">
        <f t="shared" si="2"/>
        <v>0.1475264560175347</v>
      </c>
      <c r="H36" s="157">
        <v>29.760999999999999</v>
      </c>
      <c r="I36" s="158">
        <v>3.8600000000000002E-2</v>
      </c>
      <c r="J36" s="159">
        <v>3.1800000000000002E-2</v>
      </c>
      <c r="K36" s="157">
        <f t="shared" si="3"/>
        <v>60.549079566662755</v>
      </c>
      <c r="L36" s="160" t="s">
        <v>62</v>
      </c>
      <c r="M36" s="7"/>
      <c r="N36" s="7"/>
      <c r="O36" s="7"/>
      <c r="P36" s="7"/>
      <c r="Q36" s="7"/>
      <c r="R36" s="95"/>
    </row>
    <row r="37" spans="1:18" ht="14.4" customHeight="1">
      <c r="A37" s="51"/>
      <c r="B37" s="153">
        <v>38139</v>
      </c>
      <c r="C37" s="154">
        <v>4.3388704730321201</v>
      </c>
      <c r="D37" s="155">
        <v>0</v>
      </c>
      <c r="E37" s="156">
        <f t="shared" si="0"/>
        <v>4.3388704730321201</v>
      </c>
      <c r="F37" s="154">
        <f t="shared" si="1"/>
        <v>0.14589342545501413</v>
      </c>
      <c r="G37" s="156">
        <f t="shared" si="2"/>
        <v>0.14589342545501413</v>
      </c>
      <c r="H37" s="157">
        <v>29.74</v>
      </c>
      <c r="I37" s="158">
        <v>3.7400000000000003E-2</v>
      </c>
      <c r="J37" s="159">
        <v>3.1899999999999998E-2</v>
      </c>
      <c r="K37" s="157">
        <f t="shared" si="3"/>
        <v>60.786372364870907</v>
      </c>
      <c r="L37" s="160" t="s">
        <v>62</v>
      </c>
      <c r="M37" s="7"/>
      <c r="N37" s="7"/>
      <c r="O37" s="7"/>
      <c r="P37" s="7"/>
      <c r="Q37" s="7"/>
      <c r="R37" s="95"/>
    </row>
    <row r="38" spans="1:18" ht="14.4" customHeight="1">
      <c r="A38" s="51"/>
      <c r="B38" s="153">
        <v>38169</v>
      </c>
      <c r="C38" s="154">
        <v>4.2909764735201401</v>
      </c>
      <c r="D38" s="155">
        <v>0</v>
      </c>
      <c r="E38" s="156">
        <f t="shared" si="0"/>
        <v>4.2909764735201401</v>
      </c>
      <c r="F38" s="154">
        <f t="shared" si="1"/>
        <v>0.14564443939719435</v>
      </c>
      <c r="G38" s="156">
        <f t="shared" si="2"/>
        <v>0.14564443939719435</v>
      </c>
      <c r="H38" s="157">
        <v>29.462</v>
      </c>
      <c r="I38" s="158">
        <v>3.6499999999999998E-2</v>
      </c>
      <c r="J38" s="159">
        <v>3.1899999999999998E-2</v>
      </c>
      <c r="K38" s="157">
        <f t="shared" si="3"/>
        <v>60.906382693467052</v>
      </c>
      <c r="L38" s="160" t="s">
        <v>62</v>
      </c>
      <c r="M38" s="7"/>
      <c r="N38" s="7"/>
      <c r="O38" s="7"/>
      <c r="P38" s="7"/>
      <c r="Q38" s="7"/>
      <c r="R38" s="95"/>
    </row>
    <row r="39" spans="1:18" ht="14.4" customHeight="1">
      <c r="A39" s="51"/>
      <c r="B39" s="153">
        <v>38200</v>
      </c>
      <c r="C39" s="154">
        <v>4.2376470479968598</v>
      </c>
      <c r="D39" s="155">
        <v>0</v>
      </c>
      <c r="E39" s="156">
        <f t="shared" si="0"/>
        <v>4.2376470479968598</v>
      </c>
      <c r="F39" s="154">
        <f t="shared" si="1"/>
        <v>0.1467634220404814</v>
      </c>
      <c r="G39" s="156">
        <f t="shared" si="2"/>
        <v>0.1467634220404814</v>
      </c>
      <c r="H39" s="157">
        <v>28.873999999999999</v>
      </c>
      <c r="I39" s="158">
        <v>3.61E-2</v>
      </c>
      <c r="J39" s="159">
        <v>3.2000000000000001E-2</v>
      </c>
      <c r="K39" s="157">
        <f t="shared" si="3"/>
        <v>60.414396988963404</v>
      </c>
      <c r="L39" s="160" t="s">
        <v>62</v>
      </c>
      <c r="M39" s="7"/>
      <c r="N39" s="7"/>
      <c r="O39" s="7"/>
      <c r="P39" s="7"/>
      <c r="Q39" s="7"/>
      <c r="R39" s="95"/>
    </row>
    <row r="40" spans="1:18" ht="14.4" customHeight="1">
      <c r="A40" s="51"/>
      <c r="B40" s="153">
        <v>38231</v>
      </c>
      <c r="C40" s="154">
        <v>4.2988071867471902</v>
      </c>
      <c r="D40" s="155">
        <v>0</v>
      </c>
      <c r="E40" s="156">
        <f t="shared" si="0"/>
        <v>4.2988071867471902</v>
      </c>
      <c r="F40" s="154">
        <f t="shared" si="1"/>
        <v>0.15385852493726521</v>
      </c>
      <c r="G40" s="156">
        <f t="shared" si="2"/>
        <v>0.15385852493726521</v>
      </c>
      <c r="H40" s="157">
        <v>27.94</v>
      </c>
      <c r="I40" s="158">
        <v>3.5700000000000003E-2</v>
      </c>
      <c r="J40" s="159">
        <v>3.2599999999999997E-2</v>
      </c>
      <c r="K40" s="157">
        <f t="shared" si="3"/>
        <v>61.106869845302569</v>
      </c>
      <c r="L40" s="160" t="s">
        <v>62</v>
      </c>
      <c r="M40" s="7"/>
      <c r="N40" s="7"/>
      <c r="O40" s="7"/>
      <c r="P40" s="7"/>
      <c r="Q40" s="7"/>
      <c r="R40" s="95"/>
    </row>
    <row r="41" spans="1:18" ht="14.4" customHeight="1">
      <c r="A41" s="51"/>
      <c r="B41" s="153">
        <v>38261</v>
      </c>
      <c r="C41" s="154">
        <v>4.2660918951216997</v>
      </c>
      <c r="D41" s="155">
        <v>0</v>
      </c>
      <c r="E41" s="156">
        <f t="shared" si="0"/>
        <v>4.2660918951216997</v>
      </c>
      <c r="F41" s="154">
        <f t="shared" si="1"/>
        <v>0.157043692071478</v>
      </c>
      <c r="G41" s="156">
        <f t="shared" si="2"/>
        <v>0.157043692071478</v>
      </c>
      <c r="H41" s="157">
        <v>27.164999999999999</v>
      </c>
      <c r="I41" s="158">
        <v>3.5999999999999997E-2</v>
      </c>
      <c r="J41" s="159">
        <v>3.2500000000000001E-2</v>
      </c>
      <c r="K41" s="157">
        <f t="shared" si="3"/>
        <v>60.46477067708453</v>
      </c>
      <c r="L41" s="160" t="s">
        <v>62</v>
      </c>
      <c r="M41" s="7"/>
      <c r="N41" s="7"/>
      <c r="O41" s="7"/>
      <c r="P41" s="7"/>
      <c r="Q41" s="7"/>
      <c r="R41" s="95"/>
    </row>
    <row r="42" spans="1:18" ht="14.4" customHeight="1">
      <c r="A42" s="51"/>
      <c r="B42" s="153">
        <v>38292</v>
      </c>
      <c r="C42" s="154">
        <v>4.1467909047741998</v>
      </c>
      <c r="D42" s="155">
        <v>0</v>
      </c>
      <c r="E42" s="156">
        <f t="shared" si="0"/>
        <v>4.1467909047741998</v>
      </c>
      <c r="F42" s="154">
        <f t="shared" si="1"/>
        <v>0.15563110920526177</v>
      </c>
      <c r="G42" s="156">
        <f t="shared" si="2"/>
        <v>0.15563110920526177</v>
      </c>
      <c r="H42" s="157">
        <v>26.645</v>
      </c>
      <c r="I42" s="158">
        <v>3.56E-2</v>
      </c>
      <c r="J42" s="159">
        <v>3.1600000000000003E-2</v>
      </c>
      <c r="K42" s="157">
        <f t="shared" si="3"/>
        <v>59.91087183272942</v>
      </c>
      <c r="L42" s="160" t="s">
        <v>62</v>
      </c>
      <c r="M42" s="7"/>
      <c r="N42" s="7"/>
      <c r="O42" s="7"/>
      <c r="P42" s="7"/>
      <c r="Q42" s="7"/>
      <c r="R42" s="95"/>
    </row>
    <row r="43" spans="1:18" ht="14.4" customHeight="1">
      <c r="A43" s="51"/>
      <c r="B43" s="161">
        <v>38322</v>
      </c>
      <c r="C43" s="162">
        <v>4.0925046293412297</v>
      </c>
      <c r="D43" s="163">
        <v>0</v>
      </c>
      <c r="E43" s="164">
        <f t="shared" si="0"/>
        <v>4.0925046293412297</v>
      </c>
      <c r="F43" s="162">
        <f t="shared" si="1"/>
        <v>0.15406206254107926</v>
      </c>
      <c r="G43" s="164">
        <f t="shared" si="2"/>
        <v>0.15406206254107926</v>
      </c>
      <c r="H43" s="165">
        <v>26.564</v>
      </c>
      <c r="I43" s="166">
        <v>3.5700000000000003E-2</v>
      </c>
      <c r="J43" s="167">
        <v>3.0700000000000002E-2</v>
      </c>
      <c r="K43" s="165">
        <f t="shared" si="3"/>
        <v>59.838937731624014</v>
      </c>
      <c r="L43" s="168" t="s">
        <v>62</v>
      </c>
      <c r="M43" s="7"/>
      <c r="N43" s="7"/>
      <c r="O43" s="7"/>
      <c r="P43" s="7"/>
      <c r="Q43" s="7"/>
      <c r="R43" s="95"/>
    </row>
    <row r="44" spans="1:18" ht="14.4" customHeight="1">
      <c r="A44" s="51"/>
      <c r="B44" s="145">
        <v>38353</v>
      </c>
      <c r="C44" s="146">
        <v>4.1243005711727303</v>
      </c>
      <c r="D44" s="147">
        <v>0</v>
      </c>
      <c r="E44" s="148">
        <f t="shared" si="0"/>
        <v>4.1243005711727303</v>
      </c>
      <c r="F44" s="146">
        <f t="shared" si="1"/>
        <v>0.16157886664731561</v>
      </c>
      <c r="G44" s="148">
        <f t="shared" si="2"/>
        <v>0.16157886664731561</v>
      </c>
      <c r="H44" s="149">
        <v>25.524999999999999</v>
      </c>
      <c r="I44" s="150">
        <v>3.6600000000000001E-2</v>
      </c>
      <c r="J44" s="151">
        <v>3.0800000000000001E-2</v>
      </c>
      <c r="K44" s="149">
        <f t="shared" si="3"/>
        <v>59.40912925546268</v>
      </c>
      <c r="L44" s="152" t="s">
        <v>63</v>
      </c>
      <c r="M44" s="7"/>
      <c r="N44" s="7"/>
      <c r="O44" s="7"/>
      <c r="P44" s="7"/>
      <c r="Q44" s="7"/>
      <c r="R44" s="95"/>
    </row>
    <row r="45" spans="1:18" ht="14.4" customHeight="1">
      <c r="A45" s="51"/>
      <c r="B45" s="153">
        <v>38384</v>
      </c>
      <c r="C45" s="154">
        <v>4.1450482539267801</v>
      </c>
      <c r="D45" s="155">
        <v>0</v>
      </c>
      <c r="E45" s="156">
        <f t="shared" si="0"/>
        <v>4.1450482539267801</v>
      </c>
      <c r="F45" s="154">
        <f t="shared" si="1"/>
        <v>0.16628081891554797</v>
      </c>
      <c r="G45" s="156">
        <f t="shared" si="2"/>
        <v>0.16628081891554797</v>
      </c>
      <c r="H45" s="157">
        <v>24.928000000000001</v>
      </c>
      <c r="I45" s="158">
        <v>3.78E-2</v>
      </c>
      <c r="J45" s="159">
        <v>3.1600000000000003E-2</v>
      </c>
      <c r="K45" s="157">
        <f t="shared" si="3"/>
        <v>57.987301053786688</v>
      </c>
      <c r="L45" s="160" t="s">
        <v>63</v>
      </c>
      <c r="M45" s="7"/>
      <c r="N45" s="7"/>
      <c r="O45" s="7"/>
      <c r="P45" s="7"/>
      <c r="Q45" s="7"/>
      <c r="R45" s="95"/>
    </row>
    <row r="46" spans="1:18" ht="14.4" customHeight="1">
      <c r="A46" s="51"/>
      <c r="B46" s="153">
        <v>38412</v>
      </c>
      <c r="C46" s="154">
        <v>4.2594700202596103</v>
      </c>
      <c r="D46" s="155">
        <v>0</v>
      </c>
      <c r="E46" s="156">
        <f t="shared" si="0"/>
        <v>4.2594700202596103</v>
      </c>
      <c r="F46" s="154">
        <f t="shared" si="1"/>
        <v>0.16690059246344618</v>
      </c>
      <c r="G46" s="156">
        <f t="shared" si="2"/>
        <v>0.16690059246344618</v>
      </c>
      <c r="H46" s="157">
        <v>25.521000000000001</v>
      </c>
      <c r="I46" s="158">
        <v>3.7999999999999999E-2</v>
      </c>
      <c r="J46" s="159">
        <v>3.2800000000000003E-2</v>
      </c>
      <c r="K46" s="157">
        <f t="shared" si="3"/>
        <v>58.409714500844849</v>
      </c>
      <c r="L46" s="160" t="s">
        <v>63</v>
      </c>
      <c r="M46" s="7"/>
      <c r="N46" s="7"/>
      <c r="O46" s="7"/>
      <c r="P46" s="7"/>
      <c r="Q46" s="7"/>
      <c r="R46" s="95"/>
    </row>
    <row r="47" spans="1:18" ht="14.4" customHeight="1">
      <c r="A47" s="51"/>
      <c r="B47" s="153">
        <v>38443</v>
      </c>
      <c r="C47" s="154">
        <v>4.3980265723411396</v>
      </c>
      <c r="D47" s="155">
        <v>0</v>
      </c>
      <c r="E47" s="156">
        <f t="shared" si="0"/>
        <v>4.3980265723411396</v>
      </c>
      <c r="F47" s="154">
        <f t="shared" si="1"/>
        <v>0.17445563555498372</v>
      </c>
      <c r="G47" s="156">
        <f t="shared" si="2"/>
        <v>0.17445563555498372</v>
      </c>
      <c r="H47" s="157">
        <v>25.21</v>
      </c>
      <c r="I47" s="158">
        <v>3.8899999999999997E-2</v>
      </c>
      <c r="J47" s="159">
        <v>3.32E-2</v>
      </c>
      <c r="K47" s="157">
        <f t="shared" si="3"/>
        <v>59.222312219290082</v>
      </c>
      <c r="L47" s="160" t="s">
        <v>63</v>
      </c>
      <c r="M47" s="7"/>
      <c r="N47" s="7"/>
      <c r="O47" s="7"/>
      <c r="P47" s="7"/>
      <c r="Q47" s="7"/>
      <c r="R47" s="95"/>
    </row>
    <row r="48" spans="1:18" ht="14.4" customHeight="1">
      <c r="A48" s="51"/>
      <c r="B48" s="153">
        <v>38473</v>
      </c>
      <c r="C48" s="154">
        <v>4.3483425078779101</v>
      </c>
      <c r="D48" s="155">
        <v>0</v>
      </c>
      <c r="E48" s="156">
        <f t="shared" si="0"/>
        <v>4.3483425078779101</v>
      </c>
      <c r="F48" s="154">
        <f t="shared" si="1"/>
        <v>0.17762111465536171</v>
      </c>
      <c r="G48" s="156">
        <f t="shared" si="2"/>
        <v>0.17762111465536171</v>
      </c>
      <c r="H48" s="157">
        <v>24.481000000000002</v>
      </c>
      <c r="I48" s="158">
        <v>3.8300000000000001E-2</v>
      </c>
      <c r="J48" s="159">
        <v>3.3000000000000002E-2</v>
      </c>
      <c r="K48" s="157">
        <f t="shared" si="3"/>
        <v>59.210263046581652</v>
      </c>
      <c r="L48" s="160" t="s">
        <v>63</v>
      </c>
      <c r="M48" s="7"/>
      <c r="N48" s="7"/>
      <c r="O48" s="7"/>
      <c r="P48" s="7"/>
      <c r="Q48" s="7"/>
      <c r="R48" s="95"/>
    </row>
    <row r="49" spans="1:18" ht="14.4" customHeight="1">
      <c r="A49" s="51"/>
      <c r="B49" s="153">
        <v>38504</v>
      </c>
      <c r="C49" s="154">
        <v>4.3335434253105003</v>
      </c>
      <c r="D49" s="155">
        <v>0</v>
      </c>
      <c r="E49" s="156">
        <f t="shared" si="0"/>
        <v>4.3335434253105003</v>
      </c>
      <c r="F49" s="154">
        <f t="shared" si="1"/>
        <v>0.17870282166228868</v>
      </c>
      <c r="G49" s="156">
        <f t="shared" si="2"/>
        <v>0.17870282166228868</v>
      </c>
      <c r="H49" s="157">
        <v>24.25</v>
      </c>
      <c r="I49" s="158">
        <v>3.8199999999999998E-2</v>
      </c>
      <c r="J49" s="159">
        <v>3.2199999999999999E-2</v>
      </c>
      <c r="K49" s="157">
        <f t="shared" si="3"/>
        <v>59.763120935989917</v>
      </c>
      <c r="L49" s="160" t="s">
        <v>63</v>
      </c>
      <c r="M49" s="7"/>
      <c r="N49" s="7"/>
      <c r="O49" s="7"/>
      <c r="P49" s="7"/>
      <c r="Q49" s="7"/>
      <c r="R49" s="95"/>
    </row>
    <row r="50" spans="1:18" ht="14.4" customHeight="1">
      <c r="A50" s="51"/>
      <c r="B50" s="153">
        <v>38534</v>
      </c>
      <c r="C50" s="154">
        <v>4.2936383620685499</v>
      </c>
      <c r="D50" s="155">
        <v>0</v>
      </c>
      <c r="E50" s="156">
        <f t="shared" si="0"/>
        <v>4.2936383620685499</v>
      </c>
      <c r="F50" s="154">
        <f t="shared" si="1"/>
        <v>0.17446722316410199</v>
      </c>
      <c r="G50" s="156">
        <f t="shared" si="2"/>
        <v>0.17446722316410199</v>
      </c>
      <c r="H50" s="157">
        <v>24.61</v>
      </c>
      <c r="I50" s="158">
        <v>3.6999999999999998E-2</v>
      </c>
      <c r="J50" s="159">
        <v>3.2000000000000001E-2</v>
      </c>
      <c r="K50" s="157">
        <f t="shared" si="3"/>
        <v>60.414216435465733</v>
      </c>
      <c r="L50" s="160" t="s">
        <v>63</v>
      </c>
      <c r="M50" s="7"/>
      <c r="N50" s="7"/>
      <c r="O50" s="7"/>
      <c r="P50" s="7"/>
      <c r="Q50" s="7"/>
      <c r="R50" s="95"/>
    </row>
    <row r="51" spans="1:18" ht="14.4" customHeight="1">
      <c r="A51" s="51"/>
      <c r="B51" s="153">
        <v>38565</v>
      </c>
      <c r="C51" s="154">
        <v>4.1173546849829297</v>
      </c>
      <c r="D51" s="155">
        <v>0</v>
      </c>
      <c r="E51" s="156">
        <f t="shared" si="0"/>
        <v>4.1173546849829297</v>
      </c>
      <c r="F51" s="154">
        <f t="shared" si="1"/>
        <v>0.16914611309600402</v>
      </c>
      <c r="G51" s="156">
        <f t="shared" si="2"/>
        <v>0.16914611309600402</v>
      </c>
      <c r="H51" s="157">
        <v>24.341999999999999</v>
      </c>
      <c r="I51" s="158">
        <v>3.5499999999999997E-2</v>
      </c>
      <c r="J51" s="159">
        <v>3.1899999999999998E-2</v>
      </c>
      <c r="K51" s="157">
        <f t="shared" si="3"/>
        <v>59.309076157168199</v>
      </c>
      <c r="L51" s="160" t="s">
        <v>63</v>
      </c>
      <c r="M51" s="7"/>
      <c r="N51" s="7"/>
      <c r="O51" s="7"/>
      <c r="P51" s="7"/>
      <c r="Q51" s="7"/>
      <c r="R51" s="95"/>
    </row>
    <row r="52" spans="1:18" ht="14.4" customHeight="1">
      <c r="A52" s="51"/>
      <c r="B52" s="153">
        <v>38596</v>
      </c>
      <c r="C52" s="154">
        <v>4.2229565526802197</v>
      </c>
      <c r="D52" s="155">
        <v>0</v>
      </c>
      <c r="E52" s="156">
        <f t="shared" si="0"/>
        <v>4.2229565526802197</v>
      </c>
      <c r="F52" s="154">
        <f t="shared" si="1"/>
        <v>0.1752991512113001</v>
      </c>
      <c r="G52" s="156">
        <f t="shared" si="2"/>
        <v>0.1752991512113001</v>
      </c>
      <c r="H52" s="157">
        <v>24.09</v>
      </c>
      <c r="I52" s="158">
        <v>3.5999999999999997E-2</v>
      </c>
      <c r="J52" s="159">
        <v>3.27E-2</v>
      </c>
      <c r="K52" s="157">
        <f t="shared" si="3"/>
        <v>59.679153102418276</v>
      </c>
      <c r="L52" s="160" t="s">
        <v>63</v>
      </c>
      <c r="M52" s="7"/>
      <c r="N52" s="7"/>
      <c r="O52" s="7"/>
      <c r="P52" s="7"/>
      <c r="Q52" s="7"/>
      <c r="R52" s="95"/>
    </row>
    <row r="53" spans="1:18" ht="14.4" customHeight="1">
      <c r="A53" s="51"/>
      <c r="B53" s="153">
        <v>38626</v>
      </c>
      <c r="C53" s="154">
        <v>4.1642437904236802</v>
      </c>
      <c r="D53" s="155">
        <v>0</v>
      </c>
      <c r="E53" s="156">
        <f t="shared" si="0"/>
        <v>4.1642437904236802</v>
      </c>
      <c r="F53" s="154">
        <f t="shared" si="1"/>
        <v>0.17651084225261446</v>
      </c>
      <c r="G53" s="156">
        <f t="shared" si="2"/>
        <v>0.17651084225261446</v>
      </c>
      <c r="H53" s="157">
        <v>23.591999999999999</v>
      </c>
      <c r="I53" s="158">
        <v>3.5799999999999998E-2</v>
      </c>
      <c r="J53" s="159">
        <v>3.2800000000000003E-2</v>
      </c>
      <c r="K53" s="157">
        <f t="shared" si="3"/>
        <v>58.935206069003939</v>
      </c>
      <c r="L53" s="160" t="s">
        <v>63</v>
      </c>
      <c r="M53" s="7"/>
      <c r="N53" s="7"/>
      <c r="O53" s="7"/>
      <c r="P53" s="7"/>
      <c r="Q53" s="7"/>
      <c r="R53" s="95"/>
    </row>
    <row r="54" spans="1:18" ht="14.4" customHeight="1">
      <c r="A54" s="51"/>
      <c r="B54" s="153">
        <v>38657</v>
      </c>
      <c r="C54" s="154">
        <v>4.1663259256106899</v>
      </c>
      <c r="D54" s="155">
        <v>0</v>
      </c>
      <c r="E54" s="156">
        <f t="shared" si="0"/>
        <v>4.1663259256106899</v>
      </c>
      <c r="F54" s="154">
        <f t="shared" si="1"/>
        <v>0.17713217659158581</v>
      </c>
      <c r="G54" s="156">
        <f t="shared" si="2"/>
        <v>0.17713217659158581</v>
      </c>
      <c r="H54" s="157">
        <v>23.521000000000001</v>
      </c>
      <c r="I54" s="158">
        <v>3.5099999999999999E-2</v>
      </c>
      <c r="J54" s="159">
        <v>3.1800000000000002E-2</v>
      </c>
      <c r="K54" s="157">
        <f t="shared" si="3"/>
        <v>60.463028801292893</v>
      </c>
      <c r="L54" s="160" t="s">
        <v>63</v>
      </c>
      <c r="M54" s="7"/>
      <c r="N54" s="7"/>
      <c r="O54" s="7"/>
      <c r="P54" s="7"/>
      <c r="Q54" s="7"/>
      <c r="R54" s="95"/>
    </row>
    <row r="55" spans="1:18" ht="14.4" customHeight="1">
      <c r="A55" s="51"/>
      <c r="B55" s="161">
        <v>38687</v>
      </c>
      <c r="C55" s="162">
        <v>4.1492099278294603</v>
      </c>
      <c r="D55" s="163">
        <v>0</v>
      </c>
      <c r="E55" s="164">
        <f t="shared" si="0"/>
        <v>4.1492099278294603</v>
      </c>
      <c r="F55" s="162">
        <f t="shared" si="1"/>
        <v>0.1754348622819103</v>
      </c>
      <c r="G55" s="164">
        <f t="shared" si="2"/>
        <v>0.1754348622819103</v>
      </c>
      <c r="H55" s="165">
        <v>23.651</v>
      </c>
      <c r="I55" s="166">
        <v>3.5299999999999998E-2</v>
      </c>
      <c r="J55" s="167">
        <v>3.0700000000000002E-2</v>
      </c>
      <c r="K55" s="165">
        <f t="shared" si="3"/>
        <v>61.035744745946744</v>
      </c>
      <c r="L55" s="168" t="s">
        <v>63</v>
      </c>
      <c r="M55" s="7"/>
      <c r="N55" s="7"/>
      <c r="O55" s="7"/>
      <c r="P55" s="7"/>
      <c r="Q55" s="7"/>
      <c r="R55" s="95"/>
    </row>
    <row r="56" spans="1:18" ht="14.4" customHeight="1">
      <c r="A56" s="51"/>
      <c r="B56" s="145">
        <v>38718</v>
      </c>
      <c r="C56" s="146">
        <v>3.9836137596799399</v>
      </c>
      <c r="D56" s="147">
        <v>0</v>
      </c>
      <c r="E56" s="148">
        <f t="shared" si="0"/>
        <v>3.9836137596799399</v>
      </c>
      <c r="F56" s="146">
        <f t="shared" si="1"/>
        <v>0.16471423442960265</v>
      </c>
      <c r="G56" s="148">
        <f t="shared" si="2"/>
        <v>0.16471423442960265</v>
      </c>
      <c r="H56" s="149">
        <v>24.184999999999999</v>
      </c>
      <c r="I56" s="150">
        <v>3.61E-2</v>
      </c>
      <c r="J56" s="151">
        <v>3.04E-2</v>
      </c>
      <c r="K56" s="149">
        <f t="shared" si="3"/>
        <v>58.159190593181101</v>
      </c>
      <c r="L56" s="152" t="s">
        <v>64</v>
      </c>
      <c r="M56" s="7"/>
      <c r="N56" s="7"/>
      <c r="O56" s="7"/>
      <c r="P56" s="7"/>
      <c r="Q56" s="7"/>
      <c r="R56" s="95"/>
    </row>
    <row r="57" spans="1:18" ht="14.4" customHeight="1">
      <c r="A57" s="51"/>
      <c r="B57" s="153">
        <v>38749</v>
      </c>
      <c r="C57" s="154">
        <v>4.07545936565006</v>
      </c>
      <c r="D57" s="155">
        <v>0</v>
      </c>
      <c r="E57" s="156">
        <f t="shared" si="0"/>
        <v>4.07545936565006</v>
      </c>
      <c r="F57" s="154">
        <f t="shared" si="1"/>
        <v>0.16819890076970945</v>
      </c>
      <c r="G57" s="156">
        <f t="shared" si="2"/>
        <v>0.16819890076970945</v>
      </c>
      <c r="H57" s="157">
        <v>24.23</v>
      </c>
      <c r="I57" s="158">
        <v>3.6600000000000001E-2</v>
      </c>
      <c r="J57" s="159">
        <v>3.1399999999999997E-2</v>
      </c>
      <c r="K57" s="157">
        <f t="shared" si="3"/>
        <v>58.187598024701018</v>
      </c>
      <c r="L57" s="160" t="s">
        <v>64</v>
      </c>
      <c r="M57" s="7"/>
      <c r="N57" s="7"/>
      <c r="O57" s="7"/>
      <c r="P57" s="7"/>
      <c r="Q57" s="7"/>
      <c r="R57" s="95"/>
    </row>
    <row r="58" spans="1:18" ht="14.4" customHeight="1">
      <c r="A58" s="51"/>
      <c r="B58" s="153">
        <v>38777</v>
      </c>
      <c r="C58" s="154">
        <v>4.4180741666050398</v>
      </c>
      <c r="D58" s="155">
        <v>0</v>
      </c>
      <c r="E58" s="156">
        <f t="shared" si="0"/>
        <v>4.4180741666050398</v>
      </c>
      <c r="F58" s="154">
        <f t="shared" si="1"/>
        <v>0.18203849058941243</v>
      </c>
      <c r="G58" s="156">
        <f t="shared" si="2"/>
        <v>0.18203849058941243</v>
      </c>
      <c r="H58" s="157">
        <v>24.27</v>
      </c>
      <c r="I58" s="158">
        <v>3.7900000000000003E-2</v>
      </c>
      <c r="J58" s="159">
        <v>3.2199999999999999E-2</v>
      </c>
      <c r="K58" s="157">
        <f t="shared" si="3"/>
        <v>61.189620467363405</v>
      </c>
      <c r="L58" s="160" t="s">
        <v>64</v>
      </c>
      <c r="M58" s="7"/>
      <c r="N58" s="7"/>
      <c r="O58" s="7"/>
      <c r="P58" s="7"/>
      <c r="Q58" s="7"/>
      <c r="R58" s="95"/>
    </row>
    <row r="59" spans="1:18" ht="14.4" customHeight="1">
      <c r="A59" s="51"/>
      <c r="B59" s="153">
        <v>38808</v>
      </c>
      <c r="C59" s="154">
        <v>4.4854991202477299</v>
      </c>
      <c r="D59" s="155">
        <v>0</v>
      </c>
      <c r="E59" s="156">
        <f t="shared" si="0"/>
        <v>4.4854991202477299</v>
      </c>
      <c r="F59" s="154">
        <f t="shared" si="1"/>
        <v>0.18614346683187658</v>
      </c>
      <c r="G59" s="156">
        <f t="shared" si="2"/>
        <v>0.18614346683187658</v>
      </c>
      <c r="H59" s="157">
        <v>24.097000000000001</v>
      </c>
      <c r="I59" s="158">
        <v>3.8100000000000002E-2</v>
      </c>
      <c r="J59" s="159">
        <v>3.27E-2</v>
      </c>
      <c r="K59" s="157">
        <f t="shared" si="3"/>
        <v>61.509230435079395</v>
      </c>
      <c r="L59" s="160" t="s">
        <v>64</v>
      </c>
      <c r="M59" s="7"/>
      <c r="N59" s="7"/>
      <c r="O59" s="7"/>
      <c r="P59" s="7"/>
      <c r="Q59" s="7"/>
      <c r="R59" s="95"/>
    </row>
    <row r="60" spans="1:18" ht="14.4" customHeight="1">
      <c r="A60" s="51"/>
      <c r="B60" s="153">
        <v>38838</v>
      </c>
      <c r="C60" s="154">
        <v>4.4652875560699403</v>
      </c>
      <c r="D60" s="155">
        <v>0</v>
      </c>
      <c r="E60" s="156">
        <f t="shared" si="0"/>
        <v>4.4652875560699403</v>
      </c>
      <c r="F60" s="154">
        <f t="shared" si="1"/>
        <v>0.18639537302011774</v>
      </c>
      <c r="G60" s="156">
        <f t="shared" si="2"/>
        <v>0.18639537302011774</v>
      </c>
      <c r="H60" s="157">
        <v>23.956</v>
      </c>
      <c r="I60" s="158">
        <v>3.7999999999999999E-2</v>
      </c>
      <c r="J60" s="159">
        <v>3.27E-2</v>
      </c>
      <c r="K60" s="157">
        <f t="shared" si="3"/>
        <v>61.3186794478233</v>
      </c>
      <c r="L60" s="160" t="s">
        <v>64</v>
      </c>
      <c r="M60" s="7"/>
      <c r="N60" s="7"/>
      <c r="O60" s="7"/>
      <c r="P60" s="7"/>
      <c r="Q60" s="7"/>
      <c r="R60" s="95"/>
    </row>
    <row r="61" spans="1:18" ht="14.4" customHeight="1">
      <c r="A61" s="51"/>
      <c r="B61" s="153">
        <v>38869</v>
      </c>
      <c r="C61" s="154">
        <v>4.4212880944671404</v>
      </c>
      <c r="D61" s="155">
        <v>0</v>
      </c>
      <c r="E61" s="156">
        <f t="shared" si="0"/>
        <v>4.4212880944671404</v>
      </c>
      <c r="F61" s="154">
        <f t="shared" si="1"/>
        <v>0.18513831474675016</v>
      </c>
      <c r="G61" s="156">
        <f t="shared" si="2"/>
        <v>0.18513831474675016</v>
      </c>
      <c r="H61" s="157">
        <v>23.881</v>
      </c>
      <c r="I61" s="158">
        <v>3.8199999999999998E-2</v>
      </c>
      <c r="J61" s="159">
        <v>3.1800000000000002E-2</v>
      </c>
      <c r="K61" s="157">
        <f t="shared" si="3"/>
        <v>61.321610186784191</v>
      </c>
      <c r="L61" s="160" t="s">
        <v>64</v>
      </c>
      <c r="M61" s="7"/>
      <c r="N61" s="7"/>
      <c r="O61" s="7"/>
      <c r="P61" s="7"/>
      <c r="Q61" s="7"/>
      <c r="R61" s="95"/>
    </row>
    <row r="62" spans="1:18" ht="14.4" customHeight="1">
      <c r="A62" s="51"/>
      <c r="B62" s="153">
        <v>38899</v>
      </c>
      <c r="C62" s="154">
        <v>4.3529882668523499</v>
      </c>
      <c r="D62" s="155">
        <v>0</v>
      </c>
      <c r="E62" s="156">
        <f t="shared" si="0"/>
        <v>4.3529882668523499</v>
      </c>
      <c r="F62" s="154">
        <f t="shared" si="1"/>
        <v>0.18173798709303396</v>
      </c>
      <c r="G62" s="156">
        <f t="shared" si="2"/>
        <v>0.18173798709303396</v>
      </c>
      <c r="H62" s="157">
        <v>23.952000000000002</v>
      </c>
      <c r="I62" s="158">
        <v>3.6799999999999999E-2</v>
      </c>
      <c r="J62" s="159">
        <v>3.1800000000000002E-2</v>
      </c>
      <c r="K62" s="157">
        <f t="shared" si="3"/>
        <v>61.606446076202978</v>
      </c>
      <c r="L62" s="160" t="s">
        <v>64</v>
      </c>
      <c r="M62" s="7"/>
      <c r="N62" s="7"/>
      <c r="O62" s="7"/>
      <c r="P62" s="7"/>
      <c r="Q62" s="7"/>
      <c r="R62" s="95"/>
    </row>
    <row r="63" spans="1:18" ht="14.4" customHeight="1">
      <c r="A63" s="51"/>
      <c r="B63" s="153">
        <v>38930</v>
      </c>
      <c r="C63" s="154">
        <v>4.15747128390763</v>
      </c>
      <c r="D63" s="155">
        <v>0</v>
      </c>
      <c r="E63" s="156">
        <f t="shared" si="0"/>
        <v>4.15747128390763</v>
      </c>
      <c r="F63" s="154">
        <f t="shared" si="1"/>
        <v>0.17371291872759914</v>
      </c>
      <c r="G63" s="156">
        <f t="shared" si="2"/>
        <v>0.17371291872759914</v>
      </c>
      <c r="H63" s="157">
        <v>23.933</v>
      </c>
      <c r="I63" s="158">
        <v>3.5700000000000003E-2</v>
      </c>
      <c r="J63" s="159">
        <v>3.2500000000000001E-2</v>
      </c>
      <c r="K63" s="157">
        <f t="shared" si="3"/>
        <v>59.184455825351321</v>
      </c>
      <c r="L63" s="160" t="s">
        <v>64</v>
      </c>
      <c r="M63" s="7"/>
      <c r="N63" s="7"/>
      <c r="O63" s="7"/>
      <c r="P63" s="7"/>
      <c r="Q63" s="7"/>
      <c r="R63" s="95"/>
    </row>
    <row r="64" spans="1:18" ht="14.4" customHeight="1">
      <c r="A64" s="51"/>
      <c r="B64" s="153">
        <v>38961</v>
      </c>
      <c r="C64" s="154">
        <v>3.87553338670428</v>
      </c>
      <c r="D64" s="155">
        <v>0</v>
      </c>
      <c r="E64" s="156">
        <f t="shared" si="0"/>
        <v>3.87553338670428</v>
      </c>
      <c r="F64" s="154">
        <f t="shared" si="1"/>
        <v>0.16164894209402628</v>
      </c>
      <c r="G64" s="156">
        <f t="shared" si="2"/>
        <v>0.16164894209402628</v>
      </c>
      <c r="H64" s="157">
        <v>23.975000000000001</v>
      </c>
      <c r="I64" s="158">
        <v>3.5499999999999997E-2</v>
      </c>
      <c r="J64" s="159">
        <v>3.2899999999999999E-2</v>
      </c>
      <c r="K64" s="157">
        <f t="shared" si="3"/>
        <v>55.009558092095048</v>
      </c>
      <c r="L64" s="160" t="s">
        <v>64</v>
      </c>
      <c r="M64" s="7"/>
      <c r="N64" s="7"/>
      <c r="O64" s="7"/>
      <c r="P64" s="7"/>
      <c r="Q64" s="7"/>
      <c r="R64" s="95"/>
    </row>
    <row r="65" spans="1:18" ht="14.4" customHeight="1">
      <c r="A65" s="51"/>
      <c r="B65" s="153">
        <v>38991</v>
      </c>
      <c r="C65" s="154">
        <v>3.8233563182014301</v>
      </c>
      <c r="D65" s="155">
        <v>0</v>
      </c>
      <c r="E65" s="156">
        <f t="shared" si="0"/>
        <v>3.8233563182014301</v>
      </c>
      <c r="F65" s="154">
        <f t="shared" si="1"/>
        <v>0.16026812199033491</v>
      </c>
      <c r="G65" s="156">
        <f t="shared" si="2"/>
        <v>0.16026812199033491</v>
      </c>
      <c r="H65" s="157">
        <v>23.856000000000002</v>
      </c>
      <c r="I65" s="158">
        <v>3.5299999999999998E-2</v>
      </c>
      <c r="J65" s="159">
        <v>3.2599999999999997E-2</v>
      </c>
      <c r="K65" s="157">
        <f t="shared" si="3"/>
        <v>54.668577694230962</v>
      </c>
      <c r="L65" s="160" t="s">
        <v>64</v>
      </c>
      <c r="M65" s="7"/>
      <c r="N65" s="7"/>
      <c r="O65" s="7"/>
      <c r="P65" s="7"/>
      <c r="Q65" s="7"/>
      <c r="R65" s="95"/>
    </row>
    <row r="66" spans="1:18" ht="14.4" customHeight="1">
      <c r="A66" s="51"/>
      <c r="B66" s="153">
        <v>39022</v>
      </c>
      <c r="C66" s="154">
        <v>3.7759465837253501</v>
      </c>
      <c r="D66" s="155">
        <v>0</v>
      </c>
      <c r="E66" s="156">
        <f t="shared" si="0"/>
        <v>3.7759465837253501</v>
      </c>
      <c r="F66" s="154">
        <f t="shared" si="1"/>
        <v>0.1566847829256546</v>
      </c>
      <c r="G66" s="156">
        <f t="shared" si="2"/>
        <v>0.1566847829256546</v>
      </c>
      <c r="H66" s="157">
        <v>24.099</v>
      </c>
      <c r="I66" s="158">
        <v>3.5400000000000001E-2</v>
      </c>
      <c r="J66" s="159">
        <v>3.1600000000000003E-2</v>
      </c>
      <c r="K66" s="157">
        <f t="shared" si="3"/>
        <v>54.71593368678959</v>
      </c>
      <c r="L66" s="160" t="s">
        <v>64</v>
      </c>
      <c r="M66" s="7"/>
      <c r="N66" s="7"/>
      <c r="O66" s="7"/>
      <c r="P66" s="7"/>
      <c r="Q66" s="7"/>
      <c r="R66" s="95"/>
    </row>
    <row r="67" spans="1:18" ht="14.4" customHeight="1">
      <c r="A67" s="51"/>
      <c r="B67" s="161">
        <v>39052</v>
      </c>
      <c r="C67" s="162">
        <v>3.7215982735167499</v>
      </c>
      <c r="D67" s="163">
        <v>0</v>
      </c>
      <c r="E67" s="164">
        <f t="shared" si="0"/>
        <v>3.7215982735167499</v>
      </c>
      <c r="F67" s="162">
        <f t="shared" si="1"/>
        <v>0.1522188340429772</v>
      </c>
      <c r="G67" s="164">
        <f t="shared" si="2"/>
        <v>0.1522188340429772</v>
      </c>
      <c r="H67" s="165">
        <v>24.449000000000002</v>
      </c>
      <c r="I67" s="166">
        <v>3.5900000000000001E-2</v>
      </c>
      <c r="J67" s="167">
        <v>3.0599999999999999E-2</v>
      </c>
      <c r="K67" s="165">
        <f t="shared" si="3"/>
        <v>54.333867778914509</v>
      </c>
      <c r="L67" s="168" t="s">
        <v>64</v>
      </c>
      <c r="M67" s="7"/>
      <c r="N67" s="7"/>
      <c r="O67" s="7"/>
      <c r="P67" s="7"/>
      <c r="Q67" s="7"/>
      <c r="R67" s="95"/>
    </row>
    <row r="68" spans="1:18" ht="14.4" customHeight="1">
      <c r="A68" s="51"/>
      <c r="B68" s="145">
        <v>39083</v>
      </c>
      <c r="C68" s="146">
        <v>4.2183971560830802</v>
      </c>
      <c r="D68" s="147">
        <v>0</v>
      </c>
      <c r="E68" s="148">
        <f t="shared" si="0"/>
        <v>4.2183971560830802</v>
      </c>
      <c r="F68" s="146">
        <f t="shared" si="1"/>
        <v>0.17272231732723584</v>
      </c>
      <c r="G68" s="148">
        <f t="shared" si="2"/>
        <v>0.17272231732723584</v>
      </c>
      <c r="H68" s="149">
        <v>24.422999999999998</v>
      </c>
      <c r="I68" s="150">
        <v>3.6799999999999999E-2</v>
      </c>
      <c r="J68" s="151">
        <v>3.09E-2</v>
      </c>
      <c r="K68" s="149">
        <f t="shared" si="3"/>
        <v>60.495291277668194</v>
      </c>
      <c r="L68" s="152" t="s">
        <v>65</v>
      </c>
      <c r="M68" s="7"/>
      <c r="N68" s="7"/>
      <c r="O68" s="7"/>
      <c r="P68" s="7"/>
      <c r="Q68" s="7"/>
      <c r="R68" s="95"/>
    </row>
    <row r="69" spans="1:18" ht="14.4" customHeight="1">
      <c r="A69" s="51"/>
      <c r="B69" s="153">
        <v>39114</v>
      </c>
      <c r="C69" s="154">
        <v>4.3301085522307696</v>
      </c>
      <c r="D69" s="155">
        <v>0</v>
      </c>
      <c r="E69" s="156">
        <f t="shared" si="0"/>
        <v>4.3301085522307696</v>
      </c>
      <c r="F69" s="154">
        <f t="shared" si="1"/>
        <v>0.17818643480641824</v>
      </c>
      <c r="G69" s="156">
        <f t="shared" si="2"/>
        <v>0.17818643480641824</v>
      </c>
      <c r="H69" s="157">
        <v>24.300999999999998</v>
      </c>
      <c r="I69" s="158">
        <v>3.7499999999999999E-2</v>
      </c>
      <c r="J69" s="159">
        <v>3.1199999999999999E-2</v>
      </c>
      <c r="K69" s="157">
        <f t="shared" si="3"/>
        <v>61.193433561294633</v>
      </c>
      <c r="L69" s="160" t="s">
        <v>65</v>
      </c>
      <c r="M69" s="7"/>
      <c r="N69" s="7"/>
      <c r="O69" s="7"/>
      <c r="P69" s="7"/>
      <c r="Q69" s="7"/>
      <c r="R69" s="95"/>
    </row>
    <row r="70" spans="1:18" ht="14.4" customHeight="1">
      <c r="A70" s="51"/>
      <c r="B70" s="153">
        <v>39142</v>
      </c>
      <c r="C70" s="154">
        <v>4.9077779215526904</v>
      </c>
      <c r="D70" s="155">
        <v>0</v>
      </c>
      <c r="E70" s="156">
        <f t="shared" si="0"/>
        <v>4.9077779215526904</v>
      </c>
      <c r="F70" s="154">
        <f t="shared" si="1"/>
        <v>0.20204931747849694</v>
      </c>
      <c r="G70" s="156">
        <f t="shared" si="2"/>
        <v>0.20204931747849694</v>
      </c>
      <c r="H70" s="157">
        <v>24.29</v>
      </c>
      <c r="I70" s="158">
        <v>3.8800000000000001E-2</v>
      </c>
      <c r="J70" s="159">
        <v>3.2199999999999999E-2</v>
      </c>
      <c r="K70" s="157">
        <f t="shared" si="3"/>
        <v>67.110323007694376</v>
      </c>
      <c r="L70" s="160" t="s">
        <v>65</v>
      </c>
      <c r="M70" s="7"/>
      <c r="N70" s="7"/>
      <c r="O70" s="7"/>
      <c r="P70" s="7"/>
      <c r="Q70" s="7"/>
      <c r="R70" s="95"/>
    </row>
    <row r="71" spans="1:18" ht="14.4" customHeight="1">
      <c r="A71" s="51"/>
      <c r="B71" s="153">
        <v>39173</v>
      </c>
      <c r="C71" s="154">
        <v>5.1923896583900904</v>
      </c>
      <c r="D71" s="155">
        <v>0</v>
      </c>
      <c r="E71" s="156">
        <f t="shared" si="0"/>
        <v>5.1923896583900904</v>
      </c>
      <c r="F71" s="154">
        <f t="shared" si="1"/>
        <v>0.21558603522483247</v>
      </c>
      <c r="G71" s="156">
        <f t="shared" si="2"/>
        <v>0.21558603522483247</v>
      </c>
      <c r="H71" s="157">
        <v>24.085000000000001</v>
      </c>
      <c r="I71" s="158">
        <v>3.9300000000000002E-2</v>
      </c>
      <c r="J71" s="159">
        <v>3.2300000000000002E-2</v>
      </c>
      <c r="K71" s="157">
        <f t="shared" si="3"/>
        <v>70.407192851197195</v>
      </c>
      <c r="L71" s="160" t="s">
        <v>65</v>
      </c>
      <c r="M71" s="7"/>
      <c r="N71" s="7"/>
      <c r="O71" s="7"/>
      <c r="P71" s="7"/>
      <c r="Q71" s="7"/>
      <c r="R71" s="95"/>
    </row>
    <row r="72" spans="1:18" ht="14.4" customHeight="1">
      <c r="A72" s="51"/>
      <c r="B72" s="153">
        <v>39203</v>
      </c>
      <c r="C72" s="154">
        <v>5.9008064635337503</v>
      </c>
      <c r="D72" s="155">
        <v>0</v>
      </c>
      <c r="E72" s="156">
        <f t="shared" ref="E72:E135" si="4">C72-D72</f>
        <v>5.9008064635337503</v>
      </c>
      <c r="F72" s="154">
        <f t="shared" ref="F72:F135" si="5">C72/H72</f>
        <v>0.24594891895355744</v>
      </c>
      <c r="G72" s="156">
        <f t="shared" ref="G72:G135" si="6">E72/H72</f>
        <v>0.24594891895355744</v>
      </c>
      <c r="H72" s="157">
        <v>23.992000000000001</v>
      </c>
      <c r="I72" s="158">
        <v>3.9E-2</v>
      </c>
      <c r="J72" s="159">
        <v>3.2500000000000001E-2</v>
      </c>
      <c r="K72" s="157">
        <f t="shared" ref="K72:K135" si="7">C72/1.03/(I72+J72)</f>
        <v>80.12501138615994</v>
      </c>
      <c r="L72" s="160" t="s">
        <v>65</v>
      </c>
      <c r="M72" s="7"/>
      <c r="N72" s="7"/>
      <c r="O72" s="7"/>
      <c r="P72" s="7"/>
      <c r="Q72" s="7"/>
      <c r="R72" s="95"/>
    </row>
    <row r="73" spans="1:18" ht="14.4" customHeight="1">
      <c r="A73" s="51"/>
      <c r="B73" s="153">
        <v>39234</v>
      </c>
      <c r="C73" s="154">
        <v>5.8534151237514003</v>
      </c>
      <c r="D73" s="155">
        <v>0</v>
      </c>
      <c r="E73" s="156">
        <f t="shared" si="4"/>
        <v>5.8534151237514003</v>
      </c>
      <c r="F73" s="154">
        <f t="shared" si="5"/>
        <v>0.24483081494693826</v>
      </c>
      <c r="G73" s="156">
        <f t="shared" si="6"/>
        <v>0.24483081494693826</v>
      </c>
      <c r="H73" s="157">
        <v>23.908000000000001</v>
      </c>
      <c r="I73" s="158">
        <v>3.8100000000000002E-2</v>
      </c>
      <c r="J73" s="159">
        <v>3.1899999999999998E-2</v>
      </c>
      <c r="K73" s="157">
        <f t="shared" si="7"/>
        <v>81.184675780185842</v>
      </c>
      <c r="L73" s="160" t="s">
        <v>65</v>
      </c>
      <c r="M73" s="7"/>
      <c r="N73" s="7"/>
      <c r="O73" s="7"/>
      <c r="P73" s="7"/>
      <c r="Q73" s="7"/>
      <c r="R73" s="95"/>
    </row>
    <row r="74" spans="1:18" ht="14.4" customHeight="1">
      <c r="A74" s="51"/>
      <c r="B74" s="153">
        <v>39264</v>
      </c>
      <c r="C74" s="154">
        <v>5.7613737465225503</v>
      </c>
      <c r="D74" s="155">
        <v>0</v>
      </c>
      <c r="E74" s="156">
        <f t="shared" si="4"/>
        <v>5.7613737465225503</v>
      </c>
      <c r="F74" s="154">
        <f t="shared" si="5"/>
        <v>0.24209487127164261</v>
      </c>
      <c r="G74" s="156">
        <f t="shared" si="6"/>
        <v>0.24209487127164261</v>
      </c>
      <c r="H74" s="157">
        <v>23.797999999999998</v>
      </c>
      <c r="I74" s="158">
        <v>3.7199999999999997E-2</v>
      </c>
      <c r="J74" s="159">
        <v>3.1600000000000003E-2</v>
      </c>
      <c r="K74" s="157">
        <f t="shared" si="7"/>
        <v>81.301842212160622</v>
      </c>
      <c r="L74" s="160" t="s">
        <v>65</v>
      </c>
      <c r="M74" s="7"/>
      <c r="N74" s="7"/>
      <c r="O74" s="7"/>
      <c r="P74" s="7"/>
      <c r="Q74" s="7"/>
      <c r="R74" s="95"/>
    </row>
    <row r="75" spans="1:18" ht="14.4" customHeight="1">
      <c r="A75" s="51"/>
      <c r="B75" s="153">
        <v>39295</v>
      </c>
      <c r="C75" s="154">
        <v>6.5213279999999996</v>
      </c>
      <c r="D75" s="155">
        <v>0</v>
      </c>
      <c r="E75" s="156">
        <f t="shared" si="4"/>
        <v>6.5213279999999996</v>
      </c>
      <c r="F75" s="154">
        <f t="shared" si="5"/>
        <v>0.27599999999999997</v>
      </c>
      <c r="G75" s="156">
        <f t="shared" si="6"/>
        <v>0.27599999999999997</v>
      </c>
      <c r="H75" s="157">
        <v>23.628</v>
      </c>
      <c r="I75" s="158">
        <v>3.6200000000000003E-2</v>
      </c>
      <c r="J75" s="159">
        <v>3.15E-2</v>
      </c>
      <c r="K75" s="157">
        <f t="shared" si="7"/>
        <v>93.52121724914312</v>
      </c>
      <c r="L75" s="160" t="s">
        <v>65</v>
      </c>
      <c r="M75" s="7"/>
      <c r="N75" s="7"/>
      <c r="O75" s="7"/>
      <c r="P75" s="7"/>
      <c r="Q75" s="7"/>
      <c r="R75" s="95"/>
    </row>
    <row r="76" spans="1:18" ht="14.4" customHeight="1">
      <c r="A76" s="51"/>
      <c r="B76" s="153">
        <v>39326</v>
      </c>
      <c r="C76" s="154">
        <v>7.2393999999999998</v>
      </c>
      <c r="D76" s="155">
        <v>0</v>
      </c>
      <c r="E76" s="156">
        <f t="shared" si="4"/>
        <v>7.2393999999999998</v>
      </c>
      <c r="F76" s="154">
        <f t="shared" si="5"/>
        <v>0.31150602409638556</v>
      </c>
      <c r="G76" s="156">
        <f t="shared" si="6"/>
        <v>0.31150602409638556</v>
      </c>
      <c r="H76" s="157">
        <v>23.24</v>
      </c>
      <c r="I76" s="158">
        <v>3.4799999999999998E-2</v>
      </c>
      <c r="J76" s="159">
        <v>3.2000000000000001E-2</v>
      </c>
      <c r="K76" s="157">
        <f t="shared" si="7"/>
        <v>105.21771990000582</v>
      </c>
      <c r="L76" s="160" t="s">
        <v>65</v>
      </c>
      <c r="M76" s="7"/>
      <c r="N76" s="7"/>
      <c r="O76" s="7"/>
      <c r="P76" s="7"/>
      <c r="Q76" s="7"/>
      <c r="R76" s="95"/>
    </row>
    <row r="77" spans="1:18" ht="14.4" customHeight="1">
      <c r="A77" s="51"/>
      <c r="B77" s="153">
        <v>39356</v>
      </c>
      <c r="C77" s="154">
        <v>7.3669159999999998</v>
      </c>
      <c r="D77" s="155">
        <v>0</v>
      </c>
      <c r="E77" s="156">
        <f t="shared" si="4"/>
        <v>7.3669159999999998</v>
      </c>
      <c r="F77" s="154">
        <f t="shared" si="5"/>
        <v>0.33079999999999998</v>
      </c>
      <c r="G77" s="156">
        <f t="shared" si="6"/>
        <v>0.33079999999999998</v>
      </c>
      <c r="H77" s="157">
        <v>22.27</v>
      </c>
      <c r="I77" s="158">
        <v>3.49E-2</v>
      </c>
      <c r="J77" s="159">
        <v>3.1800000000000002E-2</v>
      </c>
      <c r="K77" s="157">
        <f t="shared" si="7"/>
        <v>107.23156868167857</v>
      </c>
      <c r="L77" s="160" t="s">
        <v>65</v>
      </c>
      <c r="M77" s="7"/>
      <c r="N77" s="7"/>
      <c r="O77" s="7"/>
      <c r="P77" s="7"/>
      <c r="Q77" s="7"/>
      <c r="R77" s="95"/>
    </row>
    <row r="78" spans="1:18" ht="14.4" customHeight="1">
      <c r="A78" s="51"/>
      <c r="B78" s="153">
        <v>39387</v>
      </c>
      <c r="C78" s="154">
        <v>7.2737249999999998</v>
      </c>
      <c r="D78" s="155">
        <v>0</v>
      </c>
      <c r="E78" s="156">
        <f t="shared" si="4"/>
        <v>7.2737249999999998</v>
      </c>
      <c r="F78" s="154">
        <f t="shared" si="5"/>
        <v>0.33099999999999996</v>
      </c>
      <c r="G78" s="156">
        <f t="shared" si="6"/>
        <v>0.33099999999999996</v>
      </c>
      <c r="H78" s="157">
        <v>21.975000000000001</v>
      </c>
      <c r="I78" s="158">
        <v>3.4700000000000002E-2</v>
      </c>
      <c r="J78" s="159">
        <v>3.1399999999999997E-2</v>
      </c>
      <c r="K78" s="157">
        <f t="shared" si="7"/>
        <v>106.83614118061777</v>
      </c>
      <c r="L78" s="160" t="s">
        <v>65</v>
      </c>
      <c r="M78" s="7"/>
      <c r="N78" s="7"/>
      <c r="O78" s="7"/>
      <c r="P78" s="7"/>
      <c r="Q78" s="7"/>
      <c r="R78" s="95"/>
    </row>
    <row r="79" spans="1:18" ht="14.4" customHeight="1">
      <c r="A79" s="169"/>
      <c r="B79" s="161">
        <v>39417</v>
      </c>
      <c r="C79" s="162">
        <v>7.5358007999999996</v>
      </c>
      <c r="D79" s="163">
        <v>0</v>
      </c>
      <c r="E79" s="164">
        <f t="shared" si="4"/>
        <v>7.5358007999999996</v>
      </c>
      <c r="F79" s="162">
        <f t="shared" si="5"/>
        <v>0.34739999999999999</v>
      </c>
      <c r="G79" s="164">
        <f t="shared" si="6"/>
        <v>0.34739999999999999</v>
      </c>
      <c r="H79" s="165">
        <v>21.692</v>
      </c>
      <c r="I79" s="166">
        <v>3.4700000000000002E-2</v>
      </c>
      <c r="J79" s="167">
        <v>3.0499999999999999E-2</v>
      </c>
      <c r="K79" s="165">
        <f t="shared" si="7"/>
        <v>112.21336589433555</v>
      </c>
      <c r="L79" s="168" t="s">
        <v>65</v>
      </c>
      <c r="M79" s="7"/>
      <c r="N79" s="7"/>
      <c r="O79" s="7"/>
      <c r="P79" s="7"/>
      <c r="Q79" s="7"/>
      <c r="R79" s="95"/>
    </row>
    <row r="80" spans="1:18" ht="14.4" customHeight="1">
      <c r="A80" s="51"/>
      <c r="B80" s="145">
        <v>39448</v>
      </c>
      <c r="C80" s="146">
        <v>7.98604</v>
      </c>
      <c r="D80" s="147">
        <v>0</v>
      </c>
      <c r="E80" s="148">
        <f t="shared" si="4"/>
        <v>7.98604</v>
      </c>
      <c r="F80" s="146">
        <f t="shared" si="5"/>
        <v>0.37670000000000003</v>
      </c>
      <c r="G80" s="148">
        <f t="shared" si="6"/>
        <v>0.37670000000000003</v>
      </c>
      <c r="H80" s="149">
        <v>21.2</v>
      </c>
      <c r="I80" s="150">
        <v>3.5900000000000001E-2</v>
      </c>
      <c r="J80" s="151">
        <v>3.0599999999999999E-2</v>
      </c>
      <c r="K80" s="149">
        <f t="shared" si="7"/>
        <v>116.5930359880283</v>
      </c>
      <c r="L80" s="152" t="s">
        <v>66</v>
      </c>
      <c r="M80" s="7"/>
      <c r="N80" s="7"/>
      <c r="O80" s="7"/>
      <c r="P80" s="7"/>
      <c r="Q80" s="7"/>
      <c r="R80" s="95"/>
    </row>
    <row r="81" spans="1:18" ht="14.4" customHeight="1">
      <c r="A81" s="51"/>
      <c r="B81" s="153">
        <v>39479</v>
      </c>
      <c r="C81" s="154">
        <v>8.1486803999999999</v>
      </c>
      <c r="D81" s="155">
        <v>0</v>
      </c>
      <c r="E81" s="156">
        <f t="shared" si="4"/>
        <v>8.1486803999999999</v>
      </c>
      <c r="F81" s="154">
        <f t="shared" si="5"/>
        <v>0.38919999999999999</v>
      </c>
      <c r="G81" s="156">
        <f t="shared" si="6"/>
        <v>0.38919999999999999</v>
      </c>
      <c r="H81" s="157">
        <v>20.937000000000001</v>
      </c>
      <c r="I81" s="158">
        <v>3.6700000000000003E-2</v>
      </c>
      <c r="J81" s="159">
        <v>3.1699999999999999E-2</v>
      </c>
      <c r="K81" s="157">
        <f t="shared" si="7"/>
        <v>115.66286833588826</v>
      </c>
      <c r="L81" s="160" t="s">
        <v>66</v>
      </c>
      <c r="M81" s="7"/>
      <c r="N81" s="7"/>
      <c r="O81" s="7"/>
      <c r="P81" s="7"/>
      <c r="Q81" s="7"/>
      <c r="R81" s="95"/>
    </row>
    <row r="82" spans="1:18" ht="14.4" customHeight="1">
      <c r="A82" s="51"/>
      <c r="B82" s="153">
        <v>39508</v>
      </c>
      <c r="C82" s="154">
        <v>8.3087622360826892</v>
      </c>
      <c r="D82" s="155">
        <v>0</v>
      </c>
      <c r="E82" s="156">
        <f t="shared" si="4"/>
        <v>8.3087622360826892</v>
      </c>
      <c r="F82" s="154">
        <f t="shared" si="5"/>
        <v>0.40282954698354934</v>
      </c>
      <c r="G82" s="156">
        <f t="shared" si="6"/>
        <v>0.40282954698354934</v>
      </c>
      <c r="H82" s="157">
        <v>20.626000000000001</v>
      </c>
      <c r="I82" s="158">
        <v>3.8100000000000002E-2</v>
      </c>
      <c r="J82" s="159">
        <v>3.2300000000000002E-2</v>
      </c>
      <c r="K82" s="157">
        <f t="shared" si="7"/>
        <v>114.58465131402649</v>
      </c>
      <c r="L82" s="160" t="s">
        <v>66</v>
      </c>
      <c r="M82" s="7"/>
      <c r="N82" s="7"/>
      <c r="O82" s="7"/>
      <c r="P82" s="7"/>
      <c r="Q82" s="7"/>
      <c r="R82" s="95"/>
    </row>
    <row r="83" spans="1:18" ht="14.4" customHeight="1">
      <c r="A83" s="51"/>
      <c r="B83" s="153">
        <v>39539</v>
      </c>
      <c r="C83" s="154">
        <v>8.5299999999999994</v>
      </c>
      <c r="D83" s="155">
        <v>0</v>
      </c>
      <c r="E83" s="156">
        <f t="shared" si="4"/>
        <v>8.5299999999999994</v>
      </c>
      <c r="F83" s="154">
        <f t="shared" si="5"/>
        <v>0.42793357748457328</v>
      </c>
      <c r="G83" s="156">
        <f t="shared" si="6"/>
        <v>0.42793357748457328</v>
      </c>
      <c r="H83" s="157">
        <v>19.933</v>
      </c>
      <c r="I83" s="158">
        <v>3.8399999999999997E-2</v>
      </c>
      <c r="J83" s="159">
        <v>3.27E-2</v>
      </c>
      <c r="K83" s="157">
        <f t="shared" si="7"/>
        <v>116.47754427648738</v>
      </c>
      <c r="L83" s="160" t="s">
        <v>66</v>
      </c>
      <c r="M83" s="7"/>
      <c r="N83" s="7"/>
      <c r="O83" s="7"/>
      <c r="P83" s="7"/>
      <c r="Q83" s="7"/>
      <c r="R83" s="95"/>
    </row>
    <row r="84" spans="1:18" ht="14.4" customHeight="1">
      <c r="A84" s="51"/>
      <c r="B84" s="153">
        <v>39569</v>
      </c>
      <c r="C84" s="154">
        <v>8.49</v>
      </c>
      <c r="D84" s="155">
        <v>0</v>
      </c>
      <c r="E84" s="156">
        <f t="shared" si="4"/>
        <v>8.49</v>
      </c>
      <c r="F84" s="154">
        <f t="shared" si="5"/>
        <v>0.42719130522290433</v>
      </c>
      <c r="G84" s="156">
        <f t="shared" si="6"/>
        <v>0.42719130522290433</v>
      </c>
      <c r="H84" s="157">
        <v>19.873999999999999</v>
      </c>
      <c r="I84" s="158">
        <v>3.8800000000000001E-2</v>
      </c>
      <c r="J84" s="159">
        <v>3.2399999999999998E-2</v>
      </c>
      <c r="K84" s="157">
        <f t="shared" si="7"/>
        <v>115.76851750845424</v>
      </c>
      <c r="L84" s="160" t="s">
        <v>66</v>
      </c>
      <c r="M84" s="7"/>
      <c r="N84" s="7"/>
      <c r="O84" s="7"/>
      <c r="P84" s="7"/>
      <c r="Q84" s="7"/>
      <c r="R84" s="95"/>
    </row>
    <row r="85" spans="1:18" ht="14.4" customHeight="1">
      <c r="A85" s="51"/>
      <c r="B85" s="153">
        <v>39600</v>
      </c>
      <c r="C85" s="154">
        <v>8.5</v>
      </c>
      <c r="D85" s="155">
        <v>0</v>
      </c>
      <c r="E85" s="156">
        <f t="shared" si="4"/>
        <v>8.5</v>
      </c>
      <c r="F85" s="154">
        <f t="shared" si="5"/>
        <v>0.4360315994665025</v>
      </c>
      <c r="G85" s="156">
        <f t="shared" si="6"/>
        <v>0.4360315994665025</v>
      </c>
      <c r="H85" s="157">
        <v>19.494</v>
      </c>
      <c r="I85" s="158">
        <v>3.8800000000000001E-2</v>
      </c>
      <c r="J85" s="159">
        <v>3.2300000000000002E-2</v>
      </c>
      <c r="K85" s="157">
        <f t="shared" si="7"/>
        <v>116.06789288981743</v>
      </c>
      <c r="L85" s="160" t="s">
        <v>66</v>
      </c>
      <c r="M85" s="7"/>
      <c r="N85" s="7"/>
      <c r="O85" s="7"/>
      <c r="P85" s="7"/>
      <c r="Q85" s="7"/>
      <c r="R85" s="95"/>
    </row>
    <row r="86" spans="1:18" ht="14.4" customHeight="1">
      <c r="A86" s="51"/>
      <c r="B86" s="153">
        <v>39630</v>
      </c>
      <c r="C86" s="154">
        <v>8</v>
      </c>
      <c r="D86" s="155">
        <v>0</v>
      </c>
      <c r="E86" s="156">
        <f t="shared" si="4"/>
        <v>8</v>
      </c>
      <c r="F86" s="154">
        <f t="shared" si="5"/>
        <v>0.41554124246831503</v>
      </c>
      <c r="G86" s="156">
        <f t="shared" si="6"/>
        <v>0.41554124246831503</v>
      </c>
      <c r="H86" s="157">
        <v>19.251999999999999</v>
      </c>
      <c r="I86" s="158">
        <v>3.7100000000000001E-2</v>
      </c>
      <c r="J86" s="159">
        <v>3.2099999999999997E-2</v>
      </c>
      <c r="K86" s="157">
        <f t="shared" si="7"/>
        <v>112.23974409338348</v>
      </c>
      <c r="L86" s="160" t="s">
        <v>66</v>
      </c>
      <c r="M86" s="7"/>
      <c r="N86" s="7"/>
      <c r="O86" s="7"/>
      <c r="P86" s="7"/>
      <c r="Q86" s="7"/>
      <c r="R86" s="95"/>
    </row>
    <row r="87" spans="1:18" ht="14.4" customHeight="1">
      <c r="A87" s="51"/>
      <c r="B87" s="153">
        <v>39661</v>
      </c>
      <c r="C87" s="154">
        <v>7.1725702990707996</v>
      </c>
      <c r="D87" s="155">
        <v>0</v>
      </c>
      <c r="E87" s="156">
        <f t="shared" si="4"/>
        <v>7.1725702990707996</v>
      </c>
      <c r="F87" s="154">
        <f t="shared" si="5"/>
        <v>0.3732408960332414</v>
      </c>
      <c r="G87" s="156">
        <f t="shared" si="6"/>
        <v>0.3732408960332414</v>
      </c>
      <c r="H87" s="157">
        <v>19.216999999999999</v>
      </c>
      <c r="I87" s="158">
        <v>3.5900000000000001E-2</v>
      </c>
      <c r="J87" s="159">
        <v>3.2800000000000003E-2</v>
      </c>
      <c r="K87" s="157">
        <f t="shared" si="7"/>
        <v>101.36332583020022</v>
      </c>
      <c r="L87" s="160" t="s">
        <v>66</v>
      </c>
      <c r="M87" s="7"/>
      <c r="N87" s="7"/>
      <c r="O87" s="7"/>
      <c r="P87" s="7"/>
      <c r="Q87" s="7"/>
      <c r="R87" s="95"/>
    </row>
    <row r="88" spans="1:18" ht="14.4" customHeight="1">
      <c r="A88" s="51"/>
      <c r="B88" s="153">
        <v>39692</v>
      </c>
      <c r="C88" s="154">
        <v>6.28</v>
      </c>
      <c r="D88" s="155">
        <v>0</v>
      </c>
      <c r="E88" s="156">
        <f t="shared" si="4"/>
        <v>6.28</v>
      </c>
      <c r="F88" s="154">
        <f t="shared" si="5"/>
        <v>0.30748139443791622</v>
      </c>
      <c r="G88" s="156">
        <f t="shared" si="6"/>
        <v>0.30748139443791622</v>
      </c>
      <c r="H88" s="157">
        <v>20.423999999999999</v>
      </c>
      <c r="I88" s="158">
        <v>3.56E-2</v>
      </c>
      <c r="J88" s="159">
        <v>3.3099999999999997E-2</v>
      </c>
      <c r="K88" s="157">
        <f t="shared" si="7"/>
        <v>88.749452381961817</v>
      </c>
      <c r="L88" s="160" t="s">
        <v>66</v>
      </c>
      <c r="M88" s="7"/>
      <c r="N88" s="7"/>
      <c r="O88" s="7"/>
      <c r="P88" s="7"/>
      <c r="Q88" s="7"/>
      <c r="R88" s="95"/>
    </row>
    <row r="89" spans="1:18" ht="14.4" customHeight="1">
      <c r="A89" s="51"/>
      <c r="B89" s="153">
        <v>39722</v>
      </c>
      <c r="C89" s="154">
        <v>5.4144838160314599</v>
      </c>
      <c r="D89" s="155">
        <v>0</v>
      </c>
      <c r="E89" s="156">
        <f t="shared" si="4"/>
        <v>5.4144838160314599</v>
      </c>
      <c r="F89" s="154">
        <f t="shared" si="5"/>
        <v>0.24200973566492914</v>
      </c>
      <c r="G89" s="156">
        <f t="shared" si="6"/>
        <v>0.24200973566492914</v>
      </c>
      <c r="H89" s="157">
        <v>22.373000000000001</v>
      </c>
      <c r="I89" s="158">
        <v>3.5700000000000003E-2</v>
      </c>
      <c r="J89" s="159">
        <v>3.2500000000000001E-2</v>
      </c>
      <c r="K89" s="157">
        <f t="shared" si="7"/>
        <v>77.078891552991749</v>
      </c>
      <c r="L89" s="160" t="s">
        <v>66</v>
      </c>
      <c r="M89" s="7"/>
      <c r="N89" s="7"/>
      <c r="O89" s="7"/>
      <c r="P89" s="7"/>
      <c r="Q89" s="7"/>
      <c r="R89" s="95"/>
    </row>
    <row r="90" spans="1:18" ht="14.4" customHeight="1">
      <c r="A90" s="51"/>
      <c r="B90" s="153">
        <v>39753</v>
      </c>
      <c r="C90" s="154">
        <v>4.93409415673485</v>
      </c>
      <c r="D90" s="155">
        <v>0</v>
      </c>
      <c r="E90" s="156">
        <f t="shared" si="4"/>
        <v>4.93409415673485</v>
      </c>
      <c r="F90" s="154">
        <f t="shared" si="5"/>
        <v>0.20830388638218642</v>
      </c>
      <c r="G90" s="156">
        <f t="shared" si="6"/>
        <v>0.20830388638218642</v>
      </c>
      <c r="H90" s="157">
        <v>23.687000000000001</v>
      </c>
      <c r="I90" s="158">
        <v>3.4799999999999998E-2</v>
      </c>
      <c r="J90" s="159">
        <v>3.0700000000000002E-2</v>
      </c>
      <c r="K90" s="157">
        <f t="shared" si="7"/>
        <v>73.135613380787802</v>
      </c>
      <c r="L90" s="160" t="s">
        <v>66</v>
      </c>
      <c r="M90" s="7"/>
      <c r="N90" s="7"/>
      <c r="O90" s="7"/>
      <c r="P90" s="7"/>
      <c r="Q90" s="7"/>
      <c r="R90" s="95"/>
    </row>
    <row r="91" spans="1:18" ht="14.4" customHeight="1">
      <c r="A91" s="169"/>
      <c r="B91" s="161">
        <v>39783</v>
      </c>
      <c r="C91" s="162">
        <v>4.76</v>
      </c>
      <c r="D91" s="163">
        <v>0</v>
      </c>
      <c r="E91" s="164">
        <f t="shared" si="4"/>
        <v>4.76</v>
      </c>
      <c r="F91" s="162">
        <f t="shared" si="5"/>
        <v>0.19545846507617129</v>
      </c>
      <c r="G91" s="164">
        <f t="shared" si="6"/>
        <v>0.19545846507617129</v>
      </c>
      <c r="H91" s="165">
        <v>24.353000000000002</v>
      </c>
      <c r="I91" s="166">
        <v>3.5700000000000003E-2</v>
      </c>
      <c r="J91" s="167">
        <v>3.0200000000000001E-2</v>
      </c>
      <c r="K91" s="165">
        <f t="shared" si="7"/>
        <v>70.126847091061762</v>
      </c>
      <c r="L91" s="168" t="s">
        <v>66</v>
      </c>
      <c r="M91" s="7"/>
      <c r="N91" s="7"/>
      <c r="O91" s="7"/>
      <c r="P91" s="7"/>
      <c r="Q91" s="7"/>
      <c r="R91" s="95"/>
    </row>
    <row r="92" spans="1:18" ht="14.4" customHeight="1">
      <c r="A92" s="51"/>
      <c r="B92" s="145">
        <v>39814</v>
      </c>
      <c r="C92" s="146">
        <v>4.6100000000000003</v>
      </c>
      <c r="D92" s="147">
        <v>0</v>
      </c>
      <c r="E92" s="148">
        <f t="shared" si="4"/>
        <v>4.6100000000000003</v>
      </c>
      <c r="F92" s="146">
        <f t="shared" si="5"/>
        <v>0.19793902962644913</v>
      </c>
      <c r="G92" s="148">
        <f t="shared" si="6"/>
        <v>0.19793902962644913</v>
      </c>
      <c r="H92" s="149">
        <v>23.29</v>
      </c>
      <c r="I92" s="150">
        <v>3.61E-2</v>
      </c>
      <c r="J92" s="151">
        <v>3.0599999999999999E-2</v>
      </c>
      <c r="K92" s="149">
        <f t="shared" si="7"/>
        <v>67.102371144524838</v>
      </c>
      <c r="L92" s="152" t="s">
        <v>67</v>
      </c>
      <c r="M92" s="7"/>
      <c r="N92" s="7"/>
      <c r="O92" s="7"/>
      <c r="P92" s="7"/>
      <c r="Q92" s="7"/>
      <c r="R92" s="95"/>
    </row>
    <row r="93" spans="1:18" ht="14.4" customHeight="1">
      <c r="A93" s="51"/>
      <c r="B93" s="153">
        <v>39845</v>
      </c>
      <c r="C93" s="154">
        <v>4.75</v>
      </c>
      <c r="D93" s="155">
        <v>0</v>
      </c>
      <c r="E93" s="156">
        <f t="shared" si="4"/>
        <v>4.75</v>
      </c>
      <c r="F93" s="154">
        <f t="shared" si="5"/>
        <v>0.20430107526881722</v>
      </c>
      <c r="G93" s="156">
        <f t="shared" si="6"/>
        <v>0.20430107526881722</v>
      </c>
      <c r="H93" s="157">
        <v>23.25</v>
      </c>
      <c r="I93" s="158">
        <v>3.7199999999999997E-2</v>
      </c>
      <c r="J93" s="159">
        <v>3.15E-2</v>
      </c>
      <c r="K93" s="157">
        <f t="shared" si="7"/>
        <v>67.127372422662205</v>
      </c>
      <c r="L93" s="160" t="s">
        <v>67</v>
      </c>
      <c r="M93" s="7"/>
      <c r="N93" s="7"/>
      <c r="O93" s="7"/>
      <c r="P93" s="7"/>
      <c r="Q93" s="7"/>
      <c r="R93" s="95"/>
    </row>
    <row r="94" spans="1:18" ht="14.4" customHeight="1">
      <c r="A94" s="51"/>
      <c r="B94" s="153">
        <v>39873</v>
      </c>
      <c r="C94" s="154">
        <v>4.84</v>
      </c>
      <c r="D94" s="155">
        <v>0</v>
      </c>
      <c r="E94" s="156">
        <f t="shared" si="4"/>
        <v>4.84</v>
      </c>
      <c r="F94" s="154">
        <f t="shared" si="5"/>
        <v>0.20183486238532108</v>
      </c>
      <c r="G94" s="156">
        <f t="shared" si="6"/>
        <v>0.20183486238532108</v>
      </c>
      <c r="H94" s="157">
        <v>23.98</v>
      </c>
      <c r="I94" s="158">
        <v>3.7900000000000003E-2</v>
      </c>
      <c r="J94" s="159">
        <v>3.2599999999999997E-2</v>
      </c>
      <c r="K94" s="157">
        <f t="shared" si="7"/>
        <v>66.652895407284987</v>
      </c>
      <c r="L94" s="160" t="s">
        <v>67</v>
      </c>
      <c r="M94" s="7"/>
      <c r="N94" s="7"/>
      <c r="O94" s="7"/>
      <c r="P94" s="7"/>
      <c r="Q94" s="7"/>
      <c r="R94" s="95"/>
    </row>
    <row r="95" spans="1:18" ht="14.4" customHeight="1">
      <c r="A95" s="51"/>
      <c r="B95" s="153">
        <v>39904</v>
      </c>
      <c r="C95" s="154">
        <v>4.87</v>
      </c>
      <c r="D95" s="155">
        <v>0</v>
      </c>
      <c r="E95" s="156">
        <f t="shared" si="4"/>
        <v>4.87</v>
      </c>
      <c r="F95" s="154">
        <f t="shared" si="5"/>
        <v>0.20262117744955274</v>
      </c>
      <c r="G95" s="156">
        <f t="shared" si="6"/>
        <v>0.20262117744955274</v>
      </c>
      <c r="H95" s="157">
        <v>24.035</v>
      </c>
      <c r="I95" s="158">
        <v>3.8300000000000001E-2</v>
      </c>
      <c r="J95" s="159">
        <v>3.27E-2</v>
      </c>
      <c r="K95" s="157">
        <f t="shared" si="7"/>
        <v>66.593737180363732</v>
      </c>
      <c r="L95" s="160" t="s">
        <v>67</v>
      </c>
      <c r="M95" s="7"/>
      <c r="N95" s="7"/>
      <c r="O95" s="7"/>
      <c r="P95" s="7"/>
      <c r="Q95" s="7"/>
      <c r="R95" s="95"/>
    </row>
    <row r="96" spans="1:18" ht="14.4" customHeight="1">
      <c r="A96" s="51"/>
      <c r="B96" s="153">
        <v>39934</v>
      </c>
      <c r="C96" s="154">
        <v>5.1343449269574304</v>
      </c>
      <c r="D96" s="155">
        <v>0</v>
      </c>
      <c r="E96" s="156">
        <f t="shared" si="4"/>
        <v>5.1343449269574304</v>
      </c>
      <c r="F96" s="154">
        <f t="shared" si="5"/>
        <v>0.21668474053418149</v>
      </c>
      <c r="G96" s="156">
        <f t="shared" si="6"/>
        <v>0.21668474053418149</v>
      </c>
      <c r="H96" s="157">
        <v>23.695</v>
      </c>
      <c r="I96" s="158">
        <v>3.8100000000000002E-2</v>
      </c>
      <c r="J96" s="159">
        <v>3.2399999999999998E-2</v>
      </c>
      <c r="K96" s="157">
        <f t="shared" si="7"/>
        <v>70.706395744094607</v>
      </c>
      <c r="L96" s="160" t="s">
        <v>67</v>
      </c>
      <c r="M96" s="7"/>
      <c r="N96" s="7"/>
      <c r="O96" s="7"/>
      <c r="P96" s="7"/>
      <c r="Q96" s="7"/>
      <c r="R96" s="95"/>
    </row>
    <row r="97" spans="1:18" ht="14.4" customHeight="1">
      <c r="A97" s="51"/>
      <c r="B97" s="153">
        <v>39965</v>
      </c>
      <c r="C97" s="154">
        <v>5.2298207503041496</v>
      </c>
      <c r="D97" s="155">
        <v>0</v>
      </c>
      <c r="E97" s="156">
        <f t="shared" si="4"/>
        <v>5.2298207503041496</v>
      </c>
      <c r="F97" s="154">
        <f t="shared" si="5"/>
        <v>0.22358260657108076</v>
      </c>
      <c r="G97" s="156">
        <f t="shared" si="6"/>
        <v>0.22358260657108076</v>
      </c>
      <c r="H97" s="157">
        <v>23.390999999999998</v>
      </c>
      <c r="I97" s="158">
        <v>3.8399999999999997E-2</v>
      </c>
      <c r="J97" s="159">
        <v>3.2599999999999997E-2</v>
      </c>
      <c r="K97" s="157">
        <f t="shared" si="7"/>
        <v>71.514026395516879</v>
      </c>
      <c r="L97" s="160" t="s">
        <v>67</v>
      </c>
      <c r="M97" s="7"/>
      <c r="N97" s="7"/>
      <c r="O97" s="7"/>
      <c r="P97" s="7"/>
      <c r="Q97" s="7"/>
      <c r="R97" s="95"/>
    </row>
    <row r="98" spans="1:18" ht="14.4" customHeight="1">
      <c r="A98" s="51"/>
      <c r="B98" s="153">
        <v>39995</v>
      </c>
      <c r="C98" s="154">
        <v>5.2021232694498103</v>
      </c>
      <c r="D98" s="155">
        <v>0</v>
      </c>
      <c r="E98" s="156">
        <f t="shared" si="4"/>
        <v>5.2021232694498103</v>
      </c>
      <c r="F98" s="154">
        <f t="shared" si="5"/>
        <v>0.2223604731545121</v>
      </c>
      <c r="G98" s="156">
        <f t="shared" si="6"/>
        <v>0.2223604731545121</v>
      </c>
      <c r="H98" s="157">
        <v>23.395</v>
      </c>
      <c r="I98" s="158">
        <v>3.8199999999999998E-2</v>
      </c>
      <c r="J98" s="159">
        <v>3.2199999999999999E-2</v>
      </c>
      <c r="K98" s="157">
        <f t="shared" si="7"/>
        <v>71.741549942765474</v>
      </c>
      <c r="L98" s="160" t="s">
        <v>67</v>
      </c>
      <c r="M98" s="7"/>
      <c r="N98" s="7"/>
      <c r="O98" s="7"/>
      <c r="P98" s="7"/>
      <c r="Q98" s="7"/>
      <c r="R98" s="95"/>
    </row>
    <row r="99" spans="1:18" ht="14.4" customHeight="1">
      <c r="A99" s="51"/>
      <c r="B99" s="153">
        <v>40026</v>
      </c>
      <c r="C99" s="154">
        <v>4.95</v>
      </c>
      <c r="D99" s="155">
        <v>0</v>
      </c>
      <c r="E99" s="156">
        <f t="shared" si="4"/>
        <v>4.95</v>
      </c>
      <c r="F99" s="154">
        <f t="shared" si="5"/>
        <v>0.21661123752844391</v>
      </c>
      <c r="G99" s="156">
        <f t="shared" si="6"/>
        <v>0.21661123752844391</v>
      </c>
      <c r="H99" s="157">
        <v>22.852</v>
      </c>
      <c r="I99" s="158">
        <v>3.6700000000000003E-2</v>
      </c>
      <c r="J99" s="159">
        <v>3.2599999999999997E-2</v>
      </c>
      <c r="K99" s="157">
        <f t="shared" si="7"/>
        <v>69.34812760055479</v>
      </c>
      <c r="L99" s="160" t="s">
        <v>67</v>
      </c>
      <c r="M99" s="7"/>
      <c r="N99" s="7"/>
      <c r="O99" s="7"/>
      <c r="P99" s="7"/>
      <c r="Q99" s="7"/>
      <c r="R99" s="95"/>
    </row>
    <row r="100" spans="1:18" ht="14.4" customHeight="1">
      <c r="A100" s="51"/>
      <c r="B100" s="153">
        <v>40057</v>
      </c>
      <c r="C100" s="154">
        <v>5.04</v>
      </c>
      <c r="D100" s="155">
        <v>0</v>
      </c>
      <c r="E100" s="156">
        <f t="shared" si="4"/>
        <v>5.04</v>
      </c>
      <c r="F100" s="154">
        <f t="shared" si="5"/>
        <v>0.22969647251845776</v>
      </c>
      <c r="G100" s="156">
        <f t="shared" si="6"/>
        <v>0.22969647251845776</v>
      </c>
      <c r="H100" s="157">
        <v>21.942</v>
      </c>
      <c r="I100" s="158">
        <v>3.6499999999999998E-2</v>
      </c>
      <c r="J100" s="159">
        <v>3.2800000000000003E-2</v>
      </c>
      <c r="K100" s="157">
        <f t="shared" si="7"/>
        <v>70.609002647837599</v>
      </c>
      <c r="L100" s="160" t="s">
        <v>67</v>
      </c>
      <c r="M100" s="7"/>
      <c r="N100" s="7"/>
      <c r="O100" s="7"/>
      <c r="P100" s="7"/>
      <c r="Q100" s="7"/>
      <c r="R100" s="95"/>
    </row>
    <row r="101" spans="1:18" ht="14.4" customHeight="1">
      <c r="A101" s="51"/>
      <c r="B101" s="153">
        <v>40087</v>
      </c>
      <c r="C101" s="154">
        <v>5.07051505201715</v>
      </c>
      <c r="D101" s="155">
        <v>0</v>
      </c>
      <c r="E101" s="156">
        <f t="shared" si="4"/>
        <v>5.07051505201715</v>
      </c>
      <c r="F101" s="154">
        <f t="shared" si="5"/>
        <v>0.2435405884734462</v>
      </c>
      <c r="G101" s="156">
        <f t="shared" si="6"/>
        <v>0.2435405884734462</v>
      </c>
      <c r="H101" s="157">
        <v>20.82</v>
      </c>
      <c r="I101" s="158">
        <v>3.6400000000000002E-2</v>
      </c>
      <c r="J101" s="159">
        <v>3.2800000000000003E-2</v>
      </c>
      <c r="K101" s="157">
        <f t="shared" si="7"/>
        <v>71.13916398250673</v>
      </c>
      <c r="L101" s="160" t="s">
        <v>67</v>
      </c>
      <c r="M101" s="7"/>
      <c r="N101" s="7"/>
      <c r="O101" s="7"/>
      <c r="P101" s="7"/>
      <c r="Q101" s="7"/>
      <c r="R101" s="95"/>
    </row>
    <row r="102" spans="1:18" ht="14.4" customHeight="1">
      <c r="A102" s="51"/>
      <c r="B102" s="153">
        <v>40118</v>
      </c>
      <c r="C102" s="154">
        <v>5.84</v>
      </c>
      <c r="D102" s="155">
        <v>0</v>
      </c>
      <c r="E102" s="156">
        <f t="shared" si="4"/>
        <v>5.84</v>
      </c>
      <c r="F102" s="154">
        <f t="shared" si="5"/>
        <v>0.28542104491471582</v>
      </c>
      <c r="G102" s="156">
        <f t="shared" si="6"/>
        <v>0.28542104491471582</v>
      </c>
      <c r="H102" s="157">
        <v>20.460999999999999</v>
      </c>
      <c r="I102" s="158">
        <v>3.5900000000000001E-2</v>
      </c>
      <c r="J102" s="159">
        <v>3.1899999999999998E-2</v>
      </c>
      <c r="K102" s="157">
        <f t="shared" si="7"/>
        <v>83.626886616834213</v>
      </c>
      <c r="L102" s="160" t="s">
        <v>67</v>
      </c>
      <c r="M102" s="7"/>
      <c r="N102" s="7"/>
      <c r="O102" s="7"/>
      <c r="P102" s="7"/>
      <c r="Q102" s="7"/>
      <c r="R102" s="95"/>
    </row>
    <row r="103" spans="1:18" ht="14.4" customHeight="1">
      <c r="A103" s="169"/>
      <c r="B103" s="161">
        <v>40148</v>
      </c>
      <c r="C103" s="162">
        <v>5.52</v>
      </c>
      <c r="D103" s="163">
        <v>0</v>
      </c>
      <c r="E103" s="164">
        <f t="shared" si="4"/>
        <v>5.52</v>
      </c>
      <c r="F103" s="162">
        <f t="shared" si="5"/>
        <v>0.2801603816677663</v>
      </c>
      <c r="G103" s="164">
        <f t="shared" si="6"/>
        <v>0.2801603816677663</v>
      </c>
      <c r="H103" s="165">
        <v>19.702999999999999</v>
      </c>
      <c r="I103" s="166">
        <v>3.56E-2</v>
      </c>
      <c r="J103" s="167">
        <v>3.15E-2</v>
      </c>
      <c r="K103" s="165">
        <f t="shared" si="7"/>
        <v>79.86919971640647</v>
      </c>
      <c r="L103" s="168" t="s">
        <v>67</v>
      </c>
      <c r="M103" s="7"/>
      <c r="N103" s="7"/>
      <c r="O103" s="7"/>
      <c r="P103" s="7"/>
      <c r="Q103" s="7"/>
      <c r="R103" s="95"/>
    </row>
    <row r="104" spans="1:18" ht="14.4" customHeight="1">
      <c r="A104" s="51"/>
      <c r="B104" s="145">
        <v>40179</v>
      </c>
      <c r="C104" s="146">
        <v>5.5590194184612303</v>
      </c>
      <c r="D104" s="147">
        <v>0</v>
      </c>
      <c r="E104" s="148">
        <f t="shared" si="4"/>
        <v>5.5590194184612303</v>
      </c>
      <c r="F104" s="146">
        <f t="shared" si="5"/>
        <v>0.28384066471591679</v>
      </c>
      <c r="G104" s="148">
        <f t="shared" si="6"/>
        <v>0.28384066471591679</v>
      </c>
      <c r="H104" s="149">
        <v>19.585000000000001</v>
      </c>
      <c r="I104" s="150">
        <v>3.6600000000000001E-2</v>
      </c>
      <c r="J104" s="151">
        <v>3.1399999999999997E-2</v>
      </c>
      <c r="K104" s="149">
        <f t="shared" si="7"/>
        <v>79.369209286996437</v>
      </c>
      <c r="L104" s="152" t="s">
        <v>68</v>
      </c>
      <c r="M104" s="7"/>
      <c r="N104" s="7"/>
      <c r="O104" s="7"/>
      <c r="P104" s="7"/>
      <c r="Q104" s="7"/>
      <c r="R104" s="95"/>
    </row>
    <row r="105" spans="1:18" ht="14.4" customHeight="1">
      <c r="A105" s="51"/>
      <c r="B105" s="153">
        <v>40210</v>
      </c>
      <c r="C105" s="154">
        <v>5.97</v>
      </c>
      <c r="D105" s="155">
        <v>0</v>
      </c>
      <c r="E105" s="156">
        <f t="shared" si="4"/>
        <v>5.97</v>
      </c>
      <c r="F105" s="154">
        <f t="shared" si="5"/>
        <v>0.30203379540625319</v>
      </c>
      <c r="G105" s="156">
        <f t="shared" si="6"/>
        <v>0.30203379540625319</v>
      </c>
      <c r="H105" s="157">
        <v>19.765999999999998</v>
      </c>
      <c r="I105" s="158">
        <v>3.7600000000000001E-2</v>
      </c>
      <c r="J105" s="159">
        <v>3.1800000000000002E-2</v>
      </c>
      <c r="K105" s="157">
        <f t="shared" si="7"/>
        <v>83.517528888391467</v>
      </c>
      <c r="L105" s="160" t="s">
        <v>68</v>
      </c>
      <c r="M105" s="7"/>
      <c r="N105" s="7"/>
      <c r="O105" s="7"/>
      <c r="P105" s="7"/>
      <c r="Q105" s="7"/>
      <c r="R105" s="95"/>
    </row>
    <row r="106" spans="1:18" ht="14.4" customHeight="1">
      <c r="A106" s="51"/>
      <c r="B106" s="153">
        <v>40238</v>
      </c>
      <c r="C106" s="154">
        <v>6.31</v>
      </c>
      <c r="D106" s="155">
        <v>0</v>
      </c>
      <c r="E106" s="156">
        <f t="shared" si="4"/>
        <v>6.31</v>
      </c>
      <c r="F106" s="154">
        <f t="shared" si="5"/>
        <v>0.32179101433015445</v>
      </c>
      <c r="G106" s="156">
        <f t="shared" si="6"/>
        <v>0.32179101433015445</v>
      </c>
      <c r="H106" s="157">
        <v>19.609000000000002</v>
      </c>
      <c r="I106" s="158">
        <v>3.8100000000000002E-2</v>
      </c>
      <c r="J106" s="159">
        <v>3.2899999999999999E-2</v>
      </c>
      <c r="K106" s="157">
        <f t="shared" si="7"/>
        <v>86.284698482155051</v>
      </c>
      <c r="L106" s="160" t="s">
        <v>68</v>
      </c>
      <c r="M106" s="7"/>
      <c r="N106" s="7"/>
      <c r="O106" s="7"/>
      <c r="P106" s="7"/>
      <c r="Q106" s="7"/>
      <c r="R106" s="95"/>
    </row>
    <row r="107" spans="1:18" ht="14.4" customHeight="1">
      <c r="A107" s="51"/>
      <c r="B107" s="153">
        <v>40269</v>
      </c>
      <c r="C107" s="154">
        <v>6.53</v>
      </c>
      <c r="D107" s="155">
        <v>0</v>
      </c>
      <c r="E107" s="156">
        <f t="shared" si="4"/>
        <v>6.53</v>
      </c>
      <c r="F107" s="154">
        <f t="shared" si="5"/>
        <v>0.3374677002583979</v>
      </c>
      <c r="G107" s="156">
        <f t="shared" si="6"/>
        <v>0.3374677002583979</v>
      </c>
      <c r="H107" s="157">
        <v>19.350000000000001</v>
      </c>
      <c r="I107" s="158">
        <v>3.8699999999999998E-2</v>
      </c>
      <c r="J107" s="159">
        <v>3.3300000000000003E-2</v>
      </c>
      <c r="K107" s="157">
        <f t="shared" si="7"/>
        <v>88.052858683926644</v>
      </c>
      <c r="L107" s="160" t="s">
        <v>68</v>
      </c>
      <c r="M107" s="7"/>
      <c r="N107" s="7"/>
      <c r="O107" s="7"/>
      <c r="P107" s="7"/>
      <c r="Q107" s="7"/>
      <c r="R107" s="95"/>
    </row>
    <row r="108" spans="1:18" ht="14.4" customHeight="1">
      <c r="A108" s="51"/>
      <c r="B108" s="153">
        <v>40299</v>
      </c>
      <c r="C108" s="154">
        <v>6.55</v>
      </c>
      <c r="D108" s="155">
        <v>0</v>
      </c>
      <c r="E108" s="156">
        <f t="shared" si="4"/>
        <v>6.55</v>
      </c>
      <c r="F108" s="154">
        <f t="shared" si="5"/>
        <v>0.34004776243380747</v>
      </c>
      <c r="G108" s="156">
        <f t="shared" si="6"/>
        <v>0.34004776243380747</v>
      </c>
      <c r="H108" s="157">
        <v>19.262</v>
      </c>
      <c r="I108" s="158">
        <v>3.8100000000000002E-2</v>
      </c>
      <c r="J108" s="159">
        <v>3.3399999999999999E-2</v>
      </c>
      <c r="K108" s="157">
        <f t="shared" si="7"/>
        <v>88.94018602756465</v>
      </c>
      <c r="L108" s="160" t="s">
        <v>68</v>
      </c>
      <c r="M108" s="7"/>
      <c r="N108" s="7"/>
      <c r="O108" s="7"/>
      <c r="P108" s="7"/>
      <c r="Q108" s="7"/>
      <c r="R108" s="95"/>
    </row>
    <row r="109" spans="1:18" ht="14.4" customHeight="1">
      <c r="A109" s="51"/>
      <c r="B109" s="153">
        <v>40330</v>
      </c>
      <c r="C109" s="154">
        <v>6.51</v>
      </c>
      <c r="D109" s="155">
        <v>0</v>
      </c>
      <c r="E109" s="156">
        <f t="shared" si="4"/>
        <v>6.51</v>
      </c>
      <c r="F109" s="154">
        <f t="shared" si="5"/>
        <v>0.31825959423123934</v>
      </c>
      <c r="G109" s="156">
        <f t="shared" si="6"/>
        <v>0.31825959423123934</v>
      </c>
      <c r="H109" s="157">
        <v>20.454999999999998</v>
      </c>
      <c r="I109" s="158">
        <v>3.7999999999999999E-2</v>
      </c>
      <c r="J109" s="159">
        <v>3.3099999999999997E-2</v>
      </c>
      <c r="K109" s="157">
        <f t="shared" si="7"/>
        <v>88.894350907377813</v>
      </c>
      <c r="L109" s="160" t="s">
        <v>68</v>
      </c>
      <c r="M109" s="7"/>
      <c r="N109" s="7"/>
      <c r="O109" s="7"/>
      <c r="P109" s="7"/>
      <c r="Q109" s="7"/>
      <c r="R109" s="95"/>
    </row>
    <row r="110" spans="1:18" ht="14.4" customHeight="1">
      <c r="A110" s="51"/>
      <c r="B110" s="153">
        <v>40360</v>
      </c>
      <c r="C110" s="154">
        <v>6.51</v>
      </c>
      <c r="D110" s="155">
        <v>0</v>
      </c>
      <c r="E110" s="156">
        <f t="shared" si="4"/>
        <v>6.51</v>
      </c>
      <c r="F110" s="154">
        <f t="shared" si="5"/>
        <v>0.3086478285605917</v>
      </c>
      <c r="G110" s="156">
        <f t="shared" si="6"/>
        <v>0.3086478285605917</v>
      </c>
      <c r="H110" s="157">
        <v>21.091999999999999</v>
      </c>
      <c r="I110" s="158">
        <v>3.73E-2</v>
      </c>
      <c r="J110" s="159">
        <v>3.27E-2</v>
      </c>
      <c r="K110" s="157">
        <f t="shared" si="7"/>
        <v>90.29126213592231</v>
      </c>
      <c r="L110" s="160" t="s">
        <v>68</v>
      </c>
      <c r="M110" s="7"/>
      <c r="N110" s="7"/>
      <c r="O110" s="7"/>
      <c r="P110" s="7"/>
      <c r="Q110" s="7"/>
      <c r="R110" s="95"/>
    </row>
    <row r="111" spans="1:18" ht="14.4" customHeight="1">
      <c r="A111" s="51"/>
      <c r="B111" s="153">
        <v>40391</v>
      </c>
      <c r="C111" s="154">
        <v>6.61</v>
      </c>
      <c r="D111" s="155">
        <v>0</v>
      </c>
      <c r="E111" s="156">
        <f t="shared" si="4"/>
        <v>6.61</v>
      </c>
      <c r="F111" s="154">
        <f t="shared" si="5"/>
        <v>0.31688959202262812</v>
      </c>
      <c r="G111" s="156">
        <f t="shared" si="6"/>
        <v>0.31688959202262812</v>
      </c>
      <c r="H111" s="157">
        <v>20.859000000000002</v>
      </c>
      <c r="I111" s="158">
        <v>3.6499999999999998E-2</v>
      </c>
      <c r="J111" s="159">
        <v>3.2800000000000003E-2</v>
      </c>
      <c r="K111" s="157">
        <f t="shared" si="7"/>
        <v>92.604267361548921</v>
      </c>
      <c r="L111" s="160" t="s">
        <v>68</v>
      </c>
      <c r="M111" s="7"/>
      <c r="N111" s="7"/>
      <c r="O111" s="7"/>
      <c r="P111" s="7"/>
      <c r="Q111" s="7"/>
      <c r="R111" s="95"/>
    </row>
    <row r="112" spans="1:18" ht="14.4" customHeight="1">
      <c r="A112" s="51"/>
      <c r="B112" s="153">
        <v>40422</v>
      </c>
      <c r="C112" s="154">
        <v>6.51</v>
      </c>
      <c r="D112" s="155">
        <v>0</v>
      </c>
      <c r="E112" s="156">
        <f t="shared" si="4"/>
        <v>6.51</v>
      </c>
      <c r="F112" s="154">
        <f t="shared" si="5"/>
        <v>0.31663424124513617</v>
      </c>
      <c r="G112" s="156">
        <f t="shared" si="6"/>
        <v>0.31663424124513617</v>
      </c>
      <c r="H112" s="157">
        <v>20.56</v>
      </c>
      <c r="I112" s="158">
        <v>3.5799999999999998E-2</v>
      </c>
      <c r="J112" s="159">
        <v>3.3099999999999997E-2</v>
      </c>
      <c r="K112" s="157">
        <f t="shared" si="7"/>
        <v>91.732777206307162</v>
      </c>
      <c r="L112" s="160" t="s">
        <v>68</v>
      </c>
      <c r="M112" s="7"/>
      <c r="N112" s="7"/>
      <c r="O112" s="7"/>
      <c r="P112" s="7"/>
      <c r="Q112" s="7"/>
      <c r="R112" s="95"/>
    </row>
    <row r="113" spans="1:18" ht="14.4" customHeight="1">
      <c r="A113" s="51"/>
      <c r="B113" s="153">
        <v>40452</v>
      </c>
      <c r="C113" s="154">
        <v>6.58</v>
      </c>
      <c r="D113" s="155">
        <v>0</v>
      </c>
      <c r="E113" s="156">
        <f t="shared" si="4"/>
        <v>6.58</v>
      </c>
      <c r="F113" s="154">
        <f t="shared" si="5"/>
        <v>0.32550086569379172</v>
      </c>
      <c r="G113" s="156">
        <f t="shared" si="6"/>
        <v>0.32550086569379172</v>
      </c>
      <c r="H113" s="157">
        <v>20.215</v>
      </c>
      <c r="I113" s="158">
        <v>3.5200000000000002E-2</v>
      </c>
      <c r="J113" s="159">
        <v>3.3099999999999997E-2</v>
      </c>
      <c r="K113" s="157">
        <f t="shared" si="7"/>
        <v>93.53366785597521</v>
      </c>
      <c r="L113" s="160" t="s">
        <v>68</v>
      </c>
      <c r="M113" s="7"/>
      <c r="N113" s="7"/>
      <c r="O113" s="7"/>
      <c r="P113" s="7"/>
      <c r="Q113" s="7"/>
      <c r="R113" s="95"/>
    </row>
    <row r="114" spans="1:18" ht="14.4" customHeight="1">
      <c r="A114" s="51"/>
      <c r="B114" s="153">
        <v>40483</v>
      </c>
      <c r="C114" s="154">
        <v>6.5</v>
      </c>
      <c r="D114" s="155">
        <v>0</v>
      </c>
      <c r="E114" s="156">
        <f t="shared" si="4"/>
        <v>6.5</v>
      </c>
      <c r="F114" s="154">
        <f t="shared" si="5"/>
        <v>0.32560236437409207</v>
      </c>
      <c r="G114" s="156">
        <f t="shared" si="6"/>
        <v>0.32560236437409207</v>
      </c>
      <c r="H114" s="157">
        <v>19.963000000000001</v>
      </c>
      <c r="I114" s="158">
        <v>3.5400000000000001E-2</v>
      </c>
      <c r="J114" s="159">
        <v>3.2300000000000002E-2</v>
      </c>
      <c r="K114" s="157">
        <f t="shared" si="7"/>
        <v>93.215356154364613</v>
      </c>
      <c r="L114" s="160" t="s">
        <v>68</v>
      </c>
      <c r="M114" s="7"/>
      <c r="N114" s="7"/>
      <c r="O114" s="7"/>
      <c r="P114" s="7"/>
      <c r="Q114" s="7"/>
      <c r="R114" s="95"/>
    </row>
    <row r="115" spans="1:18" ht="14.4" customHeight="1">
      <c r="A115" s="169"/>
      <c r="B115" s="161">
        <v>40513</v>
      </c>
      <c r="C115" s="162">
        <v>6.82</v>
      </c>
      <c r="D115" s="163">
        <v>0</v>
      </c>
      <c r="E115" s="164">
        <f t="shared" si="4"/>
        <v>6.82</v>
      </c>
      <c r="F115" s="162">
        <f t="shared" si="5"/>
        <v>0.34142678347934918</v>
      </c>
      <c r="G115" s="164">
        <f t="shared" si="6"/>
        <v>0.34142678347934918</v>
      </c>
      <c r="H115" s="165">
        <v>19.975000000000001</v>
      </c>
      <c r="I115" s="166">
        <v>3.56E-2</v>
      </c>
      <c r="J115" s="167">
        <v>3.1699999999999999E-2</v>
      </c>
      <c r="K115" s="165">
        <f t="shared" si="7"/>
        <v>98.385723971782625</v>
      </c>
      <c r="L115" s="168" t="s">
        <v>68</v>
      </c>
      <c r="M115" s="7"/>
      <c r="N115" s="7"/>
      <c r="O115" s="7"/>
      <c r="P115" s="7"/>
      <c r="Q115" s="7"/>
      <c r="R115" s="95"/>
    </row>
    <row r="116" spans="1:18" ht="14.4" customHeight="1">
      <c r="A116" s="51"/>
      <c r="B116" s="145">
        <v>40544</v>
      </c>
      <c r="C116" s="146">
        <v>7.18</v>
      </c>
      <c r="D116" s="147">
        <v>0</v>
      </c>
      <c r="E116" s="148">
        <f t="shared" si="4"/>
        <v>7.18</v>
      </c>
      <c r="F116" s="146">
        <f t="shared" si="5"/>
        <v>0.36149431074413452</v>
      </c>
      <c r="G116" s="148">
        <f t="shared" si="6"/>
        <v>0.36149431074413452</v>
      </c>
      <c r="H116" s="149">
        <v>19.861999999999998</v>
      </c>
      <c r="I116" s="150">
        <v>3.5999999999999997E-2</v>
      </c>
      <c r="J116" s="151">
        <v>3.15E-2</v>
      </c>
      <c r="K116" s="149">
        <f t="shared" si="7"/>
        <v>103.27220424307802</v>
      </c>
      <c r="L116" s="152" t="s">
        <v>69</v>
      </c>
      <c r="M116" s="7"/>
      <c r="N116" s="7"/>
      <c r="O116" s="7"/>
      <c r="P116" s="7"/>
      <c r="Q116" s="7"/>
      <c r="R116" s="95"/>
    </row>
    <row r="117" spans="1:18" ht="14.4" customHeight="1">
      <c r="A117" s="51"/>
      <c r="B117" s="153">
        <v>40575</v>
      </c>
      <c r="C117" s="154">
        <v>7.66</v>
      </c>
      <c r="D117" s="155">
        <v>0</v>
      </c>
      <c r="E117" s="156">
        <f t="shared" si="4"/>
        <v>7.66</v>
      </c>
      <c r="F117" s="154">
        <f t="shared" si="5"/>
        <v>0.39113562091503268</v>
      </c>
      <c r="G117" s="156">
        <f t="shared" si="6"/>
        <v>0.39113562091503268</v>
      </c>
      <c r="H117" s="157">
        <v>19.584</v>
      </c>
      <c r="I117" s="158">
        <v>3.7100000000000001E-2</v>
      </c>
      <c r="J117" s="159">
        <v>3.2300000000000002E-2</v>
      </c>
      <c r="K117" s="157">
        <f t="shared" si="7"/>
        <v>107.1598444363616</v>
      </c>
      <c r="L117" s="160" t="s">
        <v>69</v>
      </c>
      <c r="M117" s="7"/>
      <c r="N117" s="7"/>
      <c r="O117" s="7"/>
      <c r="P117" s="7"/>
      <c r="Q117" s="7"/>
      <c r="R117" s="95"/>
    </row>
    <row r="118" spans="1:18" ht="14.4" customHeight="1">
      <c r="A118" s="51"/>
      <c r="B118" s="153">
        <v>40603</v>
      </c>
      <c r="C118" s="154">
        <v>8.1999999999999993</v>
      </c>
      <c r="D118" s="155">
        <v>0</v>
      </c>
      <c r="E118" s="156">
        <f t="shared" si="4"/>
        <v>8.1999999999999993</v>
      </c>
      <c r="F118" s="154">
        <f t="shared" si="5"/>
        <v>0.42412330609289334</v>
      </c>
      <c r="G118" s="156">
        <f t="shared" si="6"/>
        <v>0.42412330609289334</v>
      </c>
      <c r="H118" s="157">
        <v>19.334</v>
      </c>
      <c r="I118" s="158">
        <v>3.8399999999999997E-2</v>
      </c>
      <c r="J118" s="159">
        <v>3.3300000000000003E-2</v>
      </c>
      <c r="K118" s="157">
        <f t="shared" si="7"/>
        <v>111.03438003547683</v>
      </c>
      <c r="L118" s="160" t="s">
        <v>69</v>
      </c>
      <c r="M118" s="7"/>
      <c r="N118" s="7"/>
      <c r="O118" s="7"/>
      <c r="P118" s="7"/>
      <c r="Q118" s="7"/>
      <c r="R118" s="95"/>
    </row>
    <row r="119" spans="1:18" ht="14.4" customHeight="1">
      <c r="A119" s="51"/>
      <c r="B119" s="153">
        <v>40634</v>
      </c>
      <c r="C119" s="154">
        <v>8.31</v>
      </c>
      <c r="D119" s="155">
        <v>0</v>
      </c>
      <c r="E119" s="156">
        <f t="shared" si="4"/>
        <v>8.31</v>
      </c>
      <c r="F119" s="154">
        <f t="shared" si="5"/>
        <v>0.43732238711714561</v>
      </c>
      <c r="G119" s="156">
        <f t="shared" si="6"/>
        <v>0.43732238711714561</v>
      </c>
      <c r="H119" s="157">
        <v>19.001999999999999</v>
      </c>
      <c r="I119" s="158">
        <v>3.9E-2</v>
      </c>
      <c r="J119" s="159">
        <v>3.3599999999999998E-2</v>
      </c>
      <c r="K119" s="157">
        <f t="shared" si="7"/>
        <v>111.12894166733533</v>
      </c>
      <c r="L119" s="160" t="s">
        <v>69</v>
      </c>
      <c r="M119" s="7"/>
      <c r="N119" s="7"/>
      <c r="O119" s="7"/>
      <c r="P119" s="7"/>
      <c r="Q119" s="7"/>
      <c r="R119" s="95"/>
    </row>
    <row r="120" spans="1:18" ht="14.4" customHeight="1">
      <c r="A120" s="51"/>
      <c r="B120" s="153">
        <v>40664</v>
      </c>
      <c r="C120" s="154">
        <v>8.3800000000000008</v>
      </c>
      <c r="D120" s="155">
        <v>0</v>
      </c>
      <c r="E120" s="156">
        <f t="shared" si="4"/>
        <v>8.3800000000000008</v>
      </c>
      <c r="F120" s="154">
        <f t="shared" si="5"/>
        <v>0.44449159284994433</v>
      </c>
      <c r="G120" s="156">
        <f t="shared" si="6"/>
        <v>0.44449159284994433</v>
      </c>
      <c r="H120" s="157">
        <v>18.853000000000002</v>
      </c>
      <c r="I120" s="158">
        <v>3.8699999999999998E-2</v>
      </c>
      <c r="J120" s="159">
        <v>3.4000000000000002E-2</v>
      </c>
      <c r="K120" s="157">
        <f t="shared" si="7"/>
        <v>111.91089862581964</v>
      </c>
      <c r="L120" s="160" t="s">
        <v>69</v>
      </c>
      <c r="M120" s="7"/>
      <c r="N120" s="7"/>
      <c r="O120" s="7"/>
      <c r="P120" s="7"/>
      <c r="Q120" s="7"/>
      <c r="R120" s="95"/>
    </row>
    <row r="121" spans="1:18" ht="14.4" customHeight="1">
      <c r="A121" s="51"/>
      <c r="B121" s="153">
        <v>40695</v>
      </c>
      <c r="C121" s="154">
        <v>8.34</v>
      </c>
      <c r="D121" s="155">
        <v>0</v>
      </c>
      <c r="E121" s="156">
        <f t="shared" si="4"/>
        <v>8.34</v>
      </c>
      <c r="F121" s="154">
        <f t="shared" si="5"/>
        <v>0.45008094981111707</v>
      </c>
      <c r="G121" s="156">
        <f t="shared" si="6"/>
        <v>0.45008094981111707</v>
      </c>
      <c r="H121" s="157">
        <v>18.53</v>
      </c>
      <c r="I121" s="158">
        <v>3.8199999999999998E-2</v>
      </c>
      <c r="J121" s="159">
        <v>3.3799999999999997E-2</v>
      </c>
      <c r="K121" s="157">
        <f t="shared" si="7"/>
        <v>112.45954692556634</v>
      </c>
      <c r="L121" s="160" t="s">
        <v>69</v>
      </c>
      <c r="M121" s="7"/>
      <c r="N121" s="7"/>
      <c r="O121" s="7"/>
      <c r="P121" s="7"/>
      <c r="Q121" s="7"/>
      <c r="R121" s="95"/>
    </row>
    <row r="122" spans="1:18" ht="14.4" customHeight="1">
      <c r="A122" s="51"/>
      <c r="B122" s="153">
        <v>40725</v>
      </c>
      <c r="C122" s="154">
        <v>8.25</v>
      </c>
      <c r="D122" s="155">
        <v>0</v>
      </c>
      <c r="E122" s="156">
        <f t="shared" si="4"/>
        <v>8.25</v>
      </c>
      <c r="F122" s="154">
        <f t="shared" si="5"/>
        <v>0.4469848837839302</v>
      </c>
      <c r="G122" s="156">
        <f t="shared" si="6"/>
        <v>0.4469848837839302</v>
      </c>
      <c r="H122" s="157">
        <v>18.457000000000001</v>
      </c>
      <c r="I122" s="158">
        <v>3.7699999999999997E-2</v>
      </c>
      <c r="J122" s="159">
        <v>3.3599999999999998E-2</v>
      </c>
      <c r="K122" s="157">
        <f t="shared" si="7"/>
        <v>112.33813096583557</v>
      </c>
      <c r="L122" s="160" t="s">
        <v>69</v>
      </c>
      <c r="M122" s="7"/>
      <c r="N122" s="7"/>
      <c r="O122" s="7"/>
      <c r="P122" s="7"/>
      <c r="Q122" s="7"/>
      <c r="R122" s="95"/>
    </row>
    <row r="123" spans="1:18" ht="14.4" customHeight="1">
      <c r="A123" s="51"/>
      <c r="B123" s="153">
        <v>40756</v>
      </c>
      <c r="C123" s="154">
        <v>7.95</v>
      </c>
      <c r="D123" s="155">
        <v>0</v>
      </c>
      <c r="E123" s="156">
        <f t="shared" si="4"/>
        <v>7.95</v>
      </c>
      <c r="F123" s="154">
        <f t="shared" si="5"/>
        <v>0.42368364954167559</v>
      </c>
      <c r="G123" s="156">
        <f t="shared" si="6"/>
        <v>0.42368364954167559</v>
      </c>
      <c r="H123" s="157">
        <v>18.763999999999999</v>
      </c>
      <c r="I123" s="158">
        <v>3.73E-2</v>
      </c>
      <c r="J123" s="159">
        <v>3.3599999999999998E-2</v>
      </c>
      <c r="K123" s="157">
        <f t="shared" si="7"/>
        <v>108.86384487929124</v>
      </c>
      <c r="L123" s="160" t="s">
        <v>69</v>
      </c>
      <c r="M123" s="7"/>
      <c r="N123" s="7"/>
      <c r="O123" s="7"/>
      <c r="P123" s="7"/>
      <c r="Q123" s="7"/>
      <c r="R123" s="95"/>
    </row>
    <row r="124" spans="1:18" ht="14.4" customHeight="1">
      <c r="A124" s="51"/>
      <c r="B124" s="153">
        <v>40787</v>
      </c>
      <c r="C124" s="154">
        <v>7.81</v>
      </c>
      <c r="D124" s="155">
        <v>0</v>
      </c>
      <c r="E124" s="156">
        <f t="shared" si="4"/>
        <v>7.81</v>
      </c>
      <c r="F124" s="154">
        <f t="shared" si="5"/>
        <v>0.39901905686404737</v>
      </c>
      <c r="G124" s="156">
        <f t="shared" si="6"/>
        <v>0.39901905686404737</v>
      </c>
      <c r="H124" s="157">
        <v>19.573</v>
      </c>
      <c r="I124" s="158">
        <v>3.6299999999999999E-2</v>
      </c>
      <c r="J124" s="159">
        <v>3.3700000000000001E-2</v>
      </c>
      <c r="K124" s="157">
        <f t="shared" si="7"/>
        <v>108.32177531206656</v>
      </c>
      <c r="L124" s="160" t="s">
        <v>69</v>
      </c>
      <c r="M124" s="7"/>
      <c r="N124" s="7"/>
      <c r="O124" s="7"/>
      <c r="P124" s="7"/>
      <c r="Q124" s="7"/>
      <c r="R124" s="95"/>
    </row>
    <row r="125" spans="1:18" ht="14.4" customHeight="1">
      <c r="A125" s="51"/>
      <c r="B125" s="153">
        <v>40817</v>
      </c>
      <c r="C125" s="154">
        <v>7.68</v>
      </c>
      <c r="D125" s="155">
        <v>0</v>
      </c>
      <c r="E125" s="156">
        <f t="shared" si="4"/>
        <v>7.68</v>
      </c>
      <c r="F125" s="154">
        <f t="shared" si="5"/>
        <v>0.38534872052182639</v>
      </c>
      <c r="G125" s="156">
        <f t="shared" si="6"/>
        <v>0.38534872052182639</v>
      </c>
      <c r="H125" s="157">
        <v>19.93</v>
      </c>
      <c r="I125" s="158">
        <v>3.6200000000000003E-2</v>
      </c>
      <c r="J125" s="159">
        <v>3.3099999999999997E-2</v>
      </c>
      <c r="K125" s="157">
        <f t="shared" si="7"/>
        <v>107.59467070146681</v>
      </c>
      <c r="L125" s="160" t="s">
        <v>69</v>
      </c>
      <c r="M125" s="7"/>
      <c r="N125" s="7"/>
      <c r="O125" s="7"/>
      <c r="P125" s="7"/>
      <c r="Q125" s="7"/>
      <c r="R125" s="95"/>
    </row>
    <row r="126" spans="1:18" ht="14.4" customHeight="1">
      <c r="A126" s="51"/>
      <c r="B126" s="153">
        <v>40848</v>
      </c>
      <c r="C126" s="154">
        <v>7.51</v>
      </c>
      <c r="D126" s="155">
        <v>0</v>
      </c>
      <c r="E126" s="156">
        <f t="shared" si="4"/>
        <v>7.51</v>
      </c>
      <c r="F126" s="154">
        <f t="shared" si="5"/>
        <v>0.37736797145872064</v>
      </c>
      <c r="G126" s="156">
        <f t="shared" si="6"/>
        <v>0.37736797145872064</v>
      </c>
      <c r="H126" s="157">
        <v>19.901</v>
      </c>
      <c r="I126" s="158">
        <v>3.7100000000000001E-2</v>
      </c>
      <c r="J126" s="159">
        <v>3.2099999999999997E-2</v>
      </c>
      <c r="K126" s="157">
        <f t="shared" si="7"/>
        <v>105.36505976766374</v>
      </c>
      <c r="L126" s="160" t="s">
        <v>69</v>
      </c>
      <c r="M126" s="7"/>
      <c r="N126" s="7"/>
      <c r="O126" s="7"/>
      <c r="P126" s="7"/>
      <c r="Q126" s="7"/>
      <c r="R126" s="95"/>
    </row>
    <row r="127" spans="1:18" ht="14.4" customHeight="1">
      <c r="A127" s="169"/>
      <c r="B127" s="161">
        <v>40878</v>
      </c>
      <c r="C127" s="162">
        <v>7.54</v>
      </c>
      <c r="D127" s="163">
        <v>0</v>
      </c>
      <c r="E127" s="164">
        <f t="shared" si="4"/>
        <v>7.54</v>
      </c>
      <c r="F127" s="162">
        <f t="shared" si="5"/>
        <v>0.37756634952428647</v>
      </c>
      <c r="G127" s="164">
        <f t="shared" si="6"/>
        <v>0.37756634952428647</v>
      </c>
      <c r="H127" s="165">
        <v>19.97</v>
      </c>
      <c r="I127" s="166">
        <v>3.5799999999999998E-2</v>
      </c>
      <c r="J127" s="167">
        <v>3.1600000000000003E-2</v>
      </c>
      <c r="K127" s="165">
        <f t="shared" si="7"/>
        <v>108.61110310852466</v>
      </c>
      <c r="L127" s="168" t="s">
        <v>69</v>
      </c>
      <c r="M127" s="7"/>
      <c r="N127" s="7"/>
      <c r="O127" s="7"/>
      <c r="P127" s="7"/>
      <c r="Q127" s="7"/>
      <c r="R127" s="95"/>
    </row>
    <row r="128" spans="1:18" ht="14.4" customHeight="1">
      <c r="A128" s="51"/>
      <c r="B128" s="145">
        <v>40909</v>
      </c>
      <c r="C128" s="146">
        <v>8.14</v>
      </c>
      <c r="D128" s="147">
        <v>0</v>
      </c>
      <c r="E128" s="148">
        <f t="shared" si="4"/>
        <v>8.14</v>
      </c>
      <c r="F128" s="146">
        <f t="shared" si="5"/>
        <v>0.4147770700636943</v>
      </c>
      <c r="G128" s="148">
        <f t="shared" si="6"/>
        <v>0.4147770700636943</v>
      </c>
      <c r="H128" s="149">
        <v>19.625</v>
      </c>
      <c r="I128" s="150">
        <v>3.5796174770751601E-2</v>
      </c>
      <c r="J128" s="151">
        <v>3.1896710522575103E-2</v>
      </c>
      <c r="K128" s="170">
        <f t="shared" si="7"/>
        <v>116.74657664707797</v>
      </c>
      <c r="L128" s="152" t="s">
        <v>70</v>
      </c>
      <c r="M128" s="7"/>
      <c r="N128" s="7"/>
      <c r="O128" s="7"/>
      <c r="P128" s="7"/>
      <c r="Q128" s="7"/>
      <c r="R128" s="95"/>
    </row>
    <row r="129" spans="1:18" ht="14.4" customHeight="1">
      <c r="A129" s="51"/>
      <c r="B129" s="153">
        <v>40940</v>
      </c>
      <c r="C129" s="154">
        <v>7.76</v>
      </c>
      <c r="D129" s="155">
        <v>0</v>
      </c>
      <c r="E129" s="156">
        <f t="shared" si="4"/>
        <v>7.76</v>
      </c>
      <c r="F129" s="154">
        <f t="shared" si="5"/>
        <v>0.39925910681210125</v>
      </c>
      <c r="G129" s="156">
        <f t="shared" si="6"/>
        <v>0.39925910681210125</v>
      </c>
      <c r="H129" s="157">
        <v>19.436</v>
      </c>
      <c r="I129" s="158">
        <v>3.7037614194170898E-2</v>
      </c>
      <c r="J129" s="159">
        <v>3.2413934120294099E-2</v>
      </c>
      <c r="K129" s="171">
        <f t="shared" si="7"/>
        <v>108.4782235294693</v>
      </c>
      <c r="L129" s="154"/>
      <c r="M129" s="7"/>
      <c r="N129" s="7"/>
      <c r="O129" s="7"/>
      <c r="P129" s="7"/>
      <c r="Q129" s="7"/>
      <c r="R129" s="95"/>
    </row>
    <row r="130" spans="1:18" ht="14.4" customHeight="1">
      <c r="A130" s="51"/>
      <c r="B130" s="153">
        <v>40969</v>
      </c>
      <c r="C130" s="154">
        <v>8.0399999999999991</v>
      </c>
      <c r="D130" s="155">
        <v>0</v>
      </c>
      <c r="E130" s="156">
        <f t="shared" si="4"/>
        <v>8.0399999999999991</v>
      </c>
      <c r="F130" s="154">
        <f t="shared" si="5"/>
        <v>0.41171650962720197</v>
      </c>
      <c r="G130" s="156">
        <f t="shared" si="6"/>
        <v>0.41171650962720197</v>
      </c>
      <c r="H130" s="157">
        <v>19.527999999999999</v>
      </c>
      <c r="I130" s="158">
        <v>3.8358175827051998E-2</v>
      </c>
      <c r="J130" s="159">
        <v>3.3607408087325902E-2</v>
      </c>
      <c r="K130" s="171">
        <f t="shared" si="7"/>
        <v>108.46608640048748</v>
      </c>
      <c r="L130" s="154"/>
      <c r="M130" s="7"/>
      <c r="N130" s="7"/>
      <c r="O130" s="7"/>
      <c r="P130" s="7"/>
      <c r="Q130" s="7"/>
      <c r="R130" s="95"/>
    </row>
    <row r="131" spans="1:18" ht="14.4" customHeight="1">
      <c r="A131" s="51"/>
      <c r="B131" s="153">
        <v>41000</v>
      </c>
      <c r="C131" s="154">
        <v>8.1300000000000008</v>
      </c>
      <c r="D131" s="155">
        <v>0</v>
      </c>
      <c r="E131" s="156">
        <f t="shared" si="4"/>
        <v>8.1300000000000008</v>
      </c>
      <c r="F131" s="154">
        <f t="shared" si="5"/>
        <v>0.41308876581474518</v>
      </c>
      <c r="G131" s="156">
        <f t="shared" si="6"/>
        <v>0.41308876581474518</v>
      </c>
      <c r="H131" s="157">
        <v>19.681000000000001</v>
      </c>
      <c r="I131" s="158">
        <v>3.83347183876869E-2</v>
      </c>
      <c r="J131" s="159">
        <v>3.3929783768066601E-2</v>
      </c>
      <c r="K131" s="171">
        <f t="shared" si="7"/>
        <v>109.22657249451086</v>
      </c>
      <c r="L131" s="154"/>
      <c r="M131" s="7"/>
      <c r="N131" s="7"/>
      <c r="O131" s="7"/>
      <c r="P131" s="7"/>
      <c r="Q131" s="7"/>
      <c r="R131" s="95"/>
    </row>
    <row r="132" spans="1:18" ht="14.4" customHeight="1">
      <c r="A132" s="51"/>
      <c r="B132" s="153">
        <v>41030</v>
      </c>
      <c r="C132" s="154">
        <v>8.0500000000000007</v>
      </c>
      <c r="D132" s="155">
        <v>0</v>
      </c>
      <c r="E132" s="156">
        <f t="shared" si="4"/>
        <v>8.0500000000000007</v>
      </c>
      <c r="F132" s="154">
        <f t="shared" si="5"/>
        <v>0.39796321929998024</v>
      </c>
      <c r="G132" s="156">
        <f t="shared" si="6"/>
        <v>0.39796321929998024</v>
      </c>
      <c r="H132" s="157">
        <v>20.228000000000002</v>
      </c>
      <c r="I132" s="158">
        <v>3.83398766062297E-2</v>
      </c>
      <c r="J132" s="159">
        <v>3.3940805382325197E-2</v>
      </c>
      <c r="K132" s="171">
        <f t="shared" si="7"/>
        <v>108.12756279499489</v>
      </c>
      <c r="L132" s="154"/>
      <c r="M132" s="7"/>
      <c r="N132" s="7"/>
      <c r="O132" s="7"/>
      <c r="P132" s="7"/>
      <c r="Q132" s="7"/>
      <c r="R132" s="95"/>
    </row>
    <row r="133" spans="1:18" ht="14.4" customHeight="1">
      <c r="A133" s="51"/>
      <c r="B133" s="153">
        <v>41061</v>
      </c>
      <c r="C133" s="154">
        <v>7.98</v>
      </c>
      <c r="D133" s="155">
        <v>0</v>
      </c>
      <c r="E133" s="156">
        <f t="shared" si="4"/>
        <v>7.98</v>
      </c>
      <c r="F133" s="154">
        <f t="shared" si="5"/>
        <v>0.36794540759867211</v>
      </c>
      <c r="G133" s="156">
        <f t="shared" si="6"/>
        <v>0.36794540759867211</v>
      </c>
      <c r="H133" s="157">
        <v>21.687999999999999</v>
      </c>
      <c r="I133" s="158">
        <v>3.8223088428491397E-2</v>
      </c>
      <c r="J133" s="159">
        <v>3.4065949697961097E-2</v>
      </c>
      <c r="K133" s="171">
        <f t="shared" si="7"/>
        <v>107.17493296814165</v>
      </c>
      <c r="L133" s="154"/>
      <c r="M133" s="7"/>
      <c r="N133" s="7"/>
      <c r="O133" s="7"/>
      <c r="P133" s="7"/>
      <c r="Q133" s="7"/>
      <c r="R133" s="95"/>
    </row>
    <row r="134" spans="1:18" ht="14.4" customHeight="1">
      <c r="A134" s="51"/>
      <c r="B134" s="153">
        <v>41091</v>
      </c>
      <c r="C134" s="154">
        <v>7.83</v>
      </c>
      <c r="D134" s="155">
        <v>0</v>
      </c>
      <c r="E134" s="156">
        <f t="shared" si="4"/>
        <v>7.83</v>
      </c>
      <c r="F134" s="154">
        <f t="shared" si="5"/>
        <v>0.35924022756469076</v>
      </c>
      <c r="G134" s="156">
        <f t="shared" si="6"/>
        <v>0.35924022756469076</v>
      </c>
      <c r="H134" s="157">
        <v>21.795999999999999</v>
      </c>
      <c r="I134" s="158">
        <v>3.7676289689193697E-2</v>
      </c>
      <c r="J134" s="159">
        <v>3.3814886230777802E-2</v>
      </c>
      <c r="K134" s="171">
        <f t="shared" si="7"/>
        <v>106.33398667385978</v>
      </c>
      <c r="L134" s="154"/>
      <c r="M134" s="7"/>
      <c r="N134" s="7"/>
      <c r="O134" s="7"/>
      <c r="P134" s="7"/>
      <c r="Q134" s="7"/>
      <c r="R134" s="95"/>
    </row>
    <row r="135" spans="1:18" ht="14.4" customHeight="1">
      <c r="A135" s="51"/>
      <c r="B135" s="153">
        <v>41122</v>
      </c>
      <c r="C135" s="154">
        <v>7.23</v>
      </c>
      <c r="D135" s="155">
        <v>0</v>
      </c>
      <c r="E135" s="156">
        <f t="shared" si="4"/>
        <v>7.23</v>
      </c>
      <c r="F135" s="154">
        <f t="shared" si="5"/>
        <v>0.33927733458470205</v>
      </c>
      <c r="G135" s="156">
        <f t="shared" si="6"/>
        <v>0.33927733458470205</v>
      </c>
      <c r="H135" s="157">
        <v>21.31</v>
      </c>
      <c r="I135" s="158">
        <v>3.7198806446451002E-2</v>
      </c>
      <c r="J135" s="159">
        <v>3.3507073100054699E-2</v>
      </c>
      <c r="K135" s="171">
        <f t="shared" si="7"/>
        <v>99.276291034768079</v>
      </c>
      <c r="L135" s="154"/>
      <c r="M135" s="7"/>
      <c r="N135" s="7"/>
      <c r="O135" s="7"/>
      <c r="P135" s="7"/>
      <c r="Q135" s="7"/>
      <c r="R135" s="95"/>
    </row>
    <row r="136" spans="1:18" ht="14.4" customHeight="1">
      <c r="A136" s="51"/>
      <c r="B136" s="153">
        <v>41153</v>
      </c>
      <c r="C136" s="154">
        <v>7.22</v>
      </c>
      <c r="D136" s="155">
        <v>0</v>
      </c>
      <c r="E136" s="156">
        <f t="shared" ref="E136:E199" si="8">C136-D136</f>
        <v>7.22</v>
      </c>
      <c r="F136" s="154">
        <f t="shared" ref="F136:F199" si="9">C136/H136</f>
        <v>0.34027712319728531</v>
      </c>
      <c r="G136" s="156">
        <f t="shared" ref="G136:G199" si="10">E136/H136</f>
        <v>0.34027712319728531</v>
      </c>
      <c r="H136" s="157">
        <v>21.218</v>
      </c>
      <c r="I136" s="158">
        <v>3.6397794031663502E-2</v>
      </c>
      <c r="J136" s="159">
        <v>3.3721845912676698E-2</v>
      </c>
      <c r="K136" s="171">
        <f t="shared" ref="K136:K199" si="11">C136/1.03/(I136+J136)</f>
        <v>99.967837020102593</v>
      </c>
      <c r="L136" s="154"/>
      <c r="M136" s="7"/>
      <c r="N136" s="7"/>
      <c r="O136" s="7"/>
      <c r="P136" s="7"/>
      <c r="Q136" s="7"/>
      <c r="R136" s="95"/>
    </row>
    <row r="137" spans="1:18" ht="15.75" customHeight="1">
      <c r="A137" s="51"/>
      <c r="B137" s="153">
        <v>41183</v>
      </c>
      <c r="C137" s="154">
        <v>7.16</v>
      </c>
      <c r="D137" s="155">
        <v>0</v>
      </c>
      <c r="E137" s="156">
        <f t="shared" si="8"/>
        <v>7.16</v>
      </c>
      <c r="F137" s="154">
        <f t="shared" si="9"/>
        <v>0.35561736366345487</v>
      </c>
      <c r="G137" s="156">
        <f t="shared" si="10"/>
        <v>0.35561736366345487</v>
      </c>
      <c r="H137" s="157">
        <v>20.134</v>
      </c>
      <c r="I137" s="158">
        <v>3.6648371358421999E-2</v>
      </c>
      <c r="J137" s="159">
        <v>3.3212087648075803E-2</v>
      </c>
      <c r="K137" s="171">
        <f t="shared" si="11"/>
        <v>99.504875999069057</v>
      </c>
      <c r="L137" s="154"/>
      <c r="M137" s="7"/>
      <c r="N137" s="7"/>
      <c r="O137" s="7"/>
      <c r="P137" s="7"/>
      <c r="Q137" s="7"/>
      <c r="R137" s="95"/>
    </row>
    <row r="138" spans="1:18" ht="14.4" customHeight="1">
      <c r="A138" s="51"/>
      <c r="B138" s="153">
        <v>41214</v>
      </c>
      <c r="C138" s="154">
        <v>7</v>
      </c>
      <c r="D138" s="155">
        <v>0</v>
      </c>
      <c r="E138" s="156">
        <f t="shared" si="8"/>
        <v>7</v>
      </c>
      <c r="F138" s="154">
        <f t="shared" si="9"/>
        <v>0.35401810549739543</v>
      </c>
      <c r="G138" s="156">
        <f t="shared" si="10"/>
        <v>0.35401810549739543</v>
      </c>
      <c r="H138" s="157">
        <v>19.773</v>
      </c>
      <c r="I138" s="158">
        <v>3.55304327271148E-2</v>
      </c>
      <c r="J138" s="159">
        <v>3.2045628911168002E-2</v>
      </c>
      <c r="K138" s="171">
        <f t="shared" si="11"/>
        <v>100.56988140611425</v>
      </c>
      <c r="L138" s="154"/>
      <c r="M138" s="7"/>
      <c r="N138" s="7"/>
      <c r="O138" s="7"/>
      <c r="P138" s="7"/>
      <c r="Q138" s="7"/>
      <c r="R138" s="95"/>
    </row>
    <row r="139" spans="1:18" ht="14.4" customHeight="1">
      <c r="A139" s="169"/>
      <c r="B139" s="161">
        <v>41244</v>
      </c>
      <c r="C139" s="162">
        <v>6.98</v>
      </c>
      <c r="D139" s="163">
        <v>0</v>
      </c>
      <c r="E139" s="164">
        <f t="shared" si="8"/>
        <v>6.98</v>
      </c>
      <c r="F139" s="162">
        <f t="shared" si="9"/>
        <v>0.36158309158723584</v>
      </c>
      <c r="G139" s="164">
        <f t="shared" si="10"/>
        <v>0.36158309158723584</v>
      </c>
      <c r="H139" s="165">
        <v>19.303999999999998</v>
      </c>
      <c r="I139" s="166">
        <v>3.5603539744379097E-2</v>
      </c>
      <c r="J139" s="167">
        <v>3.1532529342885002E-2</v>
      </c>
      <c r="K139" s="172">
        <f t="shared" si="11"/>
        <v>100.93976488730367</v>
      </c>
      <c r="L139" s="162"/>
      <c r="M139" s="7"/>
      <c r="N139" s="7"/>
      <c r="O139" s="7"/>
      <c r="P139" s="7"/>
      <c r="Q139" s="7"/>
      <c r="R139" s="95"/>
    </row>
    <row r="140" spans="1:18" ht="14.4" customHeight="1">
      <c r="A140" s="51"/>
      <c r="B140" s="145">
        <v>41275</v>
      </c>
      <c r="C140" s="146">
        <v>7.28</v>
      </c>
      <c r="D140" s="147">
        <v>0</v>
      </c>
      <c r="E140" s="148">
        <f t="shared" si="8"/>
        <v>7.28</v>
      </c>
      <c r="F140" s="146">
        <f t="shared" si="9"/>
        <v>0.37665562913907286</v>
      </c>
      <c r="G140" s="148">
        <f t="shared" si="10"/>
        <v>0.37665562913907286</v>
      </c>
      <c r="H140" s="149">
        <v>19.327999999999999</v>
      </c>
      <c r="I140" s="150">
        <v>3.6288317298224501E-2</v>
      </c>
      <c r="J140" s="151">
        <v>3.1817805835464098E-2</v>
      </c>
      <c r="K140" s="170">
        <f t="shared" si="11"/>
        <v>103.77864485362824</v>
      </c>
      <c r="L140" s="146"/>
      <c r="M140" s="7"/>
      <c r="N140" s="7"/>
      <c r="O140" s="7"/>
      <c r="P140" s="7"/>
      <c r="Q140" s="7"/>
      <c r="R140" s="95"/>
    </row>
    <row r="141" spans="1:18" ht="14.4" customHeight="1">
      <c r="A141" s="51"/>
      <c r="B141" s="153">
        <v>41306</v>
      </c>
      <c r="C141" s="154">
        <v>7.61</v>
      </c>
      <c r="D141" s="155">
        <v>0</v>
      </c>
      <c r="E141" s="156">
        <f t="shared" si="8"/>
        <v>7.61</v>
      </c>
      <c r="F141" s="154">
        <f t="shared" si="9"/>
        <v>0.39815832156124109</v>
      </c>
      <c r="G141" s="156">
        <f t="shared" si="10"/>
        <v>0.39815832156124109</v>
      </c>
      <c r="H141" s="157">
        <v>19.113</v>
      </c>
      <c r="I141" s="158">
        <v>3.72902899122078E-2</v>
      </c>
      <c r="J141" s="159">
        <v>3.2237581816493797E-2</v>
      </c>
      <c r="K141" s="171">
        <f t="shared" si="11"/>
        <v>106.2645717589705</v>
      </c>
      <c r="L141" s="154"/>
      <c r="M141" s="7"/>
      <c r="N141" s="7"/>
      <c r="O141" s="7"/>
      <c r="P141" s="7"/>
      <c r="Q141" s="7"/>
      <c r="R141" s="95"/>
    </row>
    <row r="142" spans="1:18" ht="15.75" customHeight="1">
      <c r="A142" s="51"/>
      <c r="B142" s="153">
        <v>41334</v>
      </c>
      <c r="C142" s="154">
        <v>8.08</v>
      </c>
      <c r="D142" s="155">
        <v>0</v>
      </c>
      <c r="E142" s="156">
        <f t="shared" si="8"/>
        <v>8.08</v>
      </c>
      <c r="F142" s="154">
        <f t="shared" si="9"/>
        <v>0.42526315789473684</v>
      </c>
      <c r="G142" s="156">
        <f t="shared" si="10"/>
        <v>0.42526315789473684</v>
      </c>
      <c r="H142" s="157">
        <v>19</v>
      </c>
      <c r="I142" s="158">
        <v>3.8544455582634501E-2</v>
      </c>
      <c r="J142" s="159">
        <v>3.3988755904737898E-2</v>
      </c>
      <c r="K142" s="171">
        <f t="shared" si="11"/>
        <v>108.15266597619858</v>
      </c>
      <c r="L142" s="154"/>
      <c r="M142" s="7"/>
      <c r="N142" s="7"/>
      <c r="O142" s="7"/>
      <c r="P142" s="7"/>
      <c r="Q142" s="7"/>
      <c r="R142" s="95"/>
    </row>
    <row r="143" spans="1:18" ht="14.4" customHeight="1">
      <c r="A143" s="51"/>
      <c r="B143" s="153">
        <v>41365</v>
      </c>
      <c r="C143" s="154">
        <v>8.44</v>
      </c>
      <c r="D143" s="155">
        <v>0</v>
      </c>
      <c r="E143" s="156">
        <f t="shared" si="8"/>
        <v>8.44</v>
      </c>
      <c r="F143" s="154">
        <f t="shared" si="9"/>
        <v>0.44451466793068944</v>
      </c>
      <c r="G143" s="156">
        <f t="shared" si="10"/>
        <v>0.44451466793068944</v>
      </c>
      <c r="H143" s="157">
        <v>18.986999999999998</v>
      </c>
      <c r="I143" s="158">
        <v>3.8421909513423301E-2</v>
      </c>
      <c r="J143" s="159">
        <v>3.4012864214348397E-2</v>
      </c>
      <c r="K143" s="171">
        <f t="shared" si="11"/>
        <v>113.12487546488853</v>
      </c>
      <c r="L143" s="154"/>
      <c r="M143" s="7"/>
      <c r="N143" s="7"/>
      <c r="O143" s="7"/>
      <c r="P143" s="7"/>
      <c r="Q143" s="7"/>
      <c r="R143" s="95"/>
    </row>
    <row r="144" spans="1:18" ht="14.4" customHeight="1">
      <c r="A144" s="51"/>
      <c r="B144" s="153">
        <v>41395</v>
      </c>
      <c r="C144" s="154">
        <v>8.56</v>
      </c>
      <c r="D144" s="155">
        <v>0</v>
      </c>
      <c r="E144" s="156">
        <f t="shared" si="8"/>
        <v>8.56</v>
      </c>
      <c r="F144" s="154">
        <f t="shared" si="9"/>
        <v>0.44451368333592978</v>
      </c>
      <c r="G144" s="156">
        <f t="shared" si="10"/>
        <v>0.44451368333592978</v>
      </c>
      <c r="H144" s="157">
        <v>19.257000000000001</v>
      </c>
      <c r="I144" s="158">
        <v>3.8145414853661498E-2</v>
      </c>
      <c r="J144" s="159">
        <v>3.4018574280977203E-2</v>
      </c>
      <c r="K144" s="171">
        <f t="shared" si="11"/>
        <v>115.16380553942189</v>
      </c>
      <c r="L144" s="154"/>
      <c r="M144" s="7"/>
      <c r="N144" s="7"/>
      <c r="O144" s="7"/>
      <c r="P144" s="7"/>
      <c r="Q144" s="7"/>
      <c r="R144" s="95"/>
    </row>
    <row r="145" spans="1:18" ht="14.4" customHeight="1">
      <c r="A145" s="51"/>
      <c r="B145" s="153">
        <v>41426</v>
      </c>
      <c r="C145" s="154">
        <v>8.3800000000000008</v>
      </c>
      <c r="D145" s="155">
        <v>0</v>
      </c>
      <c r="E145" s="156">
        <f t="shared" si="8"/>
        <v>8.3800000000000008</v>
      </c>
      <c r="F145" s="154">
        <f t="shared" si="9"/>
        <v>0.40532043530834344</v>
      </c>
      <c r="G145" s="156">
        <f t="shared" si="10"/>
        <v>0.40532043530834344</v>
      </c>
      <c r="H145" s="157">
        <v>20.675000000000001</v>
      </c>
      <c r="I145" s="158">
        <v>3.7312759399958699E-2</v>
      </c>
      <c r="J145" s="159">
        <v>3.3596662484537299E-2</v>
      </c>
      <c r="K145" s="171">
        <f t="shared" si="11"/>
        <v>114.73683064783197</v>
      </c>
      <c r="L145" s="154"/>
      <c r="M145" s="7"/>
      <c r="N145" s="7"/>
      <c r="O145" s="7"/>
      <c r="P145" s="7"/>
      <c r="Q145" s="7"/>
      <c r="R145" s="95"/>
    </row>
    <row r="146" spans="1:18" ht="14.4" customHeight="1">
      <c r="A146" s="51"/>
      <c r="B146" s="153">
        <v>41456</v>
      </c>
      <c r="C146" s="154">
        <v>8.33</v>
      </c>
      <c r="D146" s="155">
        <v>0</v>
      </c>
      <c r="E146" s="156">
        <f t="shared" si="8"/>
        <v>8.33</v>
      </c>
      <c r="F146" s="154">
        <f t="shared" si="9"/>
        <v>0.39529255445356615</v>
      </c>
      <c r="G146" s="156">
        <f t="shared" si="10"/>
        <v>0.39529255445356615</v>
      </c>
      <c r="H146" s="157">
        <v>21.073</v>
      </c>
      <c r="I146" s="158">
        <v>3.7399445466680899E-2</v>
      </c>
      <c r="J146" s="159">
        <v>3.3145456727407603E-2</v>
      </c>
      <c r="K146" s="171">
        <f t="shared" si="11"/>
        <v>114.6415742207153</v>
      </c>
      <c r="L146" s="154"/>
      <c r="M146" s="7"/>
      <c r="N146" s="7"/>
      <c r="O146" s="7"/>
      <c r="P146" s="7"/>
      <c r="Q146" s="7"/>
      <c r="R146" s="95"/>
    </row>
    <row r="147" spans="1:18" ht="14.4" customHeight="1">
      <c r="A147" s="51"/>
      <c r="B147" s="153">
        <v>41487</v>
      </c>
      <c r="C147" s="154">
        <v>8.56</v>
      </c>
      <c r="D147" s="155">
        <v>0</v>
      </c>
      <c r="E147" s="156">
        <f t="shared" si="8"/>
        <v>8.56</v>
      </c>
      <c r="F147" s="154">
        <f t="shared" si="9"/>
        <v>0.3911354809230066</v>
      </c>
      <c r="G147" s="156">
        <f t="shared" si="10"/>
        <v>0.3911354809230066</v>
      </c>
      <c r="H147" s="157">
        <v>21.885000000000002</v>
      </c>
      <c r="I147" s="158">
        <v>3.6527945399695699E-2</v>
      </c>
      <c r="J147" s="159">
        <v>3.3347583964237003E-2</v>
      </c>
      <c r="K147" s="171">
        <f t="shared" si="11"/>
        <v>118.93547980675716</v>
      </c>
      <c r="L147" s="173"/>
      <c r="M147" s="7"/>
      <c r="N147" s="7"/>
      <c r="O147" s="7"/>
      <c r="P147" s="7"/>
      <c r="Q147" s="7"/>
      <c r="R147" s="95"/>
    </row>
    <row r="148" spans="1:18" ht="14.4" customHeight="1">
      <c r="A148" s="51"/>
      <c r="B148" s="153">
        <v>41518</v>
      </c>
      <c r="C148" s="154">
        <v>9.02</v>
      </c>
      <c r="D148" s="155">
        <v>0</v>
      </c>
      <c r="E148" s="156">
        <f t="shared" si="8"/>
        <v>9.02</v>
      </c>
      <c r="F148" s="154">
        <f t="shared" si="9"/>
        <v>0.40731542108828178</v>
      </c>
      <c r="G148" s="156">
        <f t="shared" si="10"/>
        <v>0.40731542108828178</v>
      </c>
      <c r="H148" s="157">
        <v>22.145</v>
      </c>
      <c r="I148" s="158">
        <v>3.6788778297918101E-2</v>
      </c>
      <c r="J148" s="159">
        <v>3.3873507991723298E-2</v>
      </c>
      <c r="K148" s="171">
        <f t="shared" si="11"/>
        <v>123.9314776414447</v>
      </c>
      <c r="L148" s="173"/>
      <c r="M148" s="7"/>
      <c r="N148" s="7"/>
      <c r="O148" s="7"/>
      <c r="P148" s="7"/>
      <c r="Q148" s="7"/>
      <c r="R148" s="95"/>
    </row>
    <row r="149" spans="1:18" ht="14.4" customHeight="1">
      <c r="A149" s="51"/>
      <c r="B149" s="153">
        <v>41548</v>
      </c>
      <c r="C149" s="154">
        <v>9.43</v>
      </c>
      <c r="D149" s="155">
        <v>0</v>
      </c>
      <c r="E149" s="156">
        <f t="shared" si="8"/>
        <v>9.43</v>
      </c>
      <c r="F149" s="154">
        <f t="shared" si="9"/>
        <v>0.43576709796672825</v>
      </c>
      <c r="G149" s="156">
        <f t="shared" si="10"/>
        <v>0.43576709796672825</v>
      </c>
      <c r="H149" s="157">
        <v>21.64</v>
      </c>
      <c r="I149" s="158">
        <v>3.5948186981993903E-2</v>
      </c>
      <c r="J149" s="159">
        <v>3.3461955601897998E-2</v>
      </c>
      <c r="K149" s="171">
        <f t="shared" si="11"/>
        <v>131.90204579625708</v>
      </c>
      <c r="L149" s="173"/>
      <c r="M149" s="7"/>
      <c r="N149" s="7"/>
      <c r="O149" s="7"/>
      <c r="P149" s="7"/>
      <c r="Q149" s="7"/>
      <c r="R149" s="95"/>
    </row>
    <row r="150" spans="1:18" ht="14.4" customHeight="1">
      <c r="A150" s="51"/>
      <c r="B150" s="153">
        <v>41579</v>
      </c>
      <c r="C150" s="154">
        <v>9.49</v>
      </c>
      <c r="D150" s="155">
        <v>0</v>
      </c>
      <c r="E150" s="156">
        <f t="shared" si="8"/>
        <v>9.49</v>
      </c>
      <c r="F150" s="154">
        <f t="shared" si="9"/>
        <v>0.44453813003560055</v>
      </c>
      <c r="G150" s="156">
        <f t="shared" si="10"/>
        <v>0.44453813003560055</v>
      </c>
      <c r="H150" s="157">
        <v>21.347999999999999</v>
      </c>
      <c r="I150" s="158">
        <v>3.5807391723338702E-2</v>
      </c>
      <c r="J150" s="159">
        <v>3.2778556061914897E-2</v>
      </c>
      <c r="K150" s="171">
        <f t="shared" si="11"/>
        <v>134.33644252986016</v>
      </c>
      <c r="L150" s="173"/>
      <c r="M150" s="7"/>
      <c r="N150" s="7"/>
      <c r="O150" s="7"/>
      <c r="P150" s="7"/>
      <c r="Q150" s="7"/>
      <c r="R150" s="95"/>
    </row>
    <row r="151" spans="1:18" ht="14.4" customHeight="1">
      <c r="A151" s="51"/>
      <c r="B151" s="161">
        <v>41609</v>
      </c>
      <c r="C151" s="162">
        <v>9.32</v>
      </c>
      <c r="D151" s="163">
        <v>0</v>
      </c>
      <c r="E151" s="164">
        <f t="shared" si="8"/>
        <v>9.32</v>
      </c>
      <c r="F151" s="162">
        <f t="shared" si="9"/>
        <v>0.43626831437532182</v>
      </c>
      <c r="G151" s="164">
        <f t="shared" si="10"/>
        <v>0.43626831437532182</v>
      </c>
      <c r="H151" s="165">
        <v>21.363</v>
      </c>
      <c r="I151" s="166">
        <v>3.5733648907098702E-2</v>
      </c>
      <c r="J151" s="167">
        <v>3.1869098226162802E-2</v>
      </c>
      <c r="K151" s="172">
        <f t="shared" si="11"/>
        <v>133.84875723294945</v>
      </c>
      <c r="L151" s="174"/>
      <c r="M151" s="7"/>
      <c r="N151" s="7"/>
      <c r="O151" s="7"/>
      <c r="P151" s="7"/>
      <c r="Q151" s="7"/>
      <c r="R151" s="95"/>
    </row>
    <row r="152" spans="1:18" ht="14.4" customHeight="1">
      <c r="A152" s="51"/>
      <c r="B152" s="145">
        <v>41640</v>
      </c>
      <c r="C152" s="146">
        <v>9.76</v>
      </c>
      <c r="D152" s="147">
        <v>0</v>
      </c>
      <c r="E152" s="148">
        <f t="shared" si="8"/>
        <v>9.76</v>
      </c>
      <c r="F152" s="146">
        <f t="shared" si="9"/>
        <v>0.45068341337273737</v>
      </c>
      <c r="G152" s="148">
        <f t="shared" si="10"/>
        <v>0.45068341337273737</v>
      </c>
      <c r="H152" s="149">
        <v>21.655999999999999</v>
      </c>
      <c r="I152" s="150">
        <v>3.64910222298526E-2</v>
      </c>
      <c r="J152" s="151">
        <v>3.2178454707549403E-2</v>
      </c>
      <c r="K152" s="170">
        <f t="shared" si="11"/>
        <v>137.99039366468057</v>
      </c>
      <c r="L152" s="175"/>
      <c r="M152" s="7"/>
      <c r="N152" s="7"/>
      <c r="O152" s="7"/>
      <c r="P152" s="7"/>
      <c r="Q152" s="7"/>
      <c r="R152" s="95"/>
    </row>
    <row r="153" spans="1:18" ht="14.4" customHeight="1">
      <c r="A153" s="51"/>
      <c r="B153" s="153">
        <v>41671</v>
      </c>
      <c r="C153" s="154">
        <v>10.08</v>
      </c>
      <c r="D153" s="155">
        <v>0</v>
      </c>
      <c r="E153" s="156">
        <f t="shared" si="8"/>
        <v>10.08</v>
      </c>
      <c r="F153" s="154">
        <f t="shared" si="9"/>
        <v>0.45052292839903463</v>
      </c>
      <c r="G153" s="156">
        <f t="shared" si="10"/>
        <v>0.45052292839903463</v>
      </c>
      <c r="H153" s="157">
        <v>22.373999999999999</v>
      </c>
      <c r="I153" s="158">
        <v>3.7966868829009702E-2</v>
      </c>
      <c r="J153" s="159">
        <v>3.3013190500941501E-2</v>
      </c>
      <c r="K153" s="171">
        <f t="shared" si="11"/>
        <v>137.87545205475413</v>
      </c>
      <c r="L153" s="173"/>
      <c r="M153" s="7"/>
      <c r="N153" s="7"/>
      <c r="O153" s="7"/>
      <c r="P153" s="7"/>
      <c r="Q153" s="7"/>
      <c r="R153" s="95"/>
    </row>
    <row r="154" spans="1:18" ht="15.75" customHeight="1">
      <c r="A154" s="51"/>
      <c r="B154" s="153">
        <v>41699</v>
      </c>
      <c r="C154" s="154">
        <v>10.48</v>
      </c>
      <c r="D154" s="155">
        <v>0</v>
      </c>
      <c r="E154" s="156">
        <f t="shared" si="8"/>
        <v>10.48</v>
      </c>
      <c r="F154" s="154">
        <f t="shared" si="9"/>
        <v>0.46299977910315882</v>
      </c>
      <c r="G154" s="156">
        <f t="shared" si="10"/>
        <v>0.46299977910315882</v>
      </c>
      <c r="H154" s="157">
        <v>22.635000000000002</v>
      </c>
      <c r="I154" s="158">
        <v>3.8558014928275999E-2</v>
      </c>
      <c r="J154" s="159">
        <v>3.4258242853312401E-2</v>
      </c>
      <c r="K154" s="171">
        <f t="shared" si="11"/>
        <v>139.73194436979276</v>
      </c>
      <c r="L154" s="173"/>
      <c r="M154" s="7"/>
      <c r="N154" s="7"/>
      <c r="O154" s="7"/>
      <c r="P154" s="7"/>
      <c r="Q154" s="7"/>
      <c r="R154" s="95"/>
    </row>
    <row r="155" spans="1:18" ht="14.4" customHeight="1">
      <c r="A155" s="51"/>
      <c r="B155" s="153">
        <v>41730</v>
      </c>
      <c r="C155" s="154">
        <v>10.56</v>
      </c>
      <c r="D155" s="155">
        <v>0</v>
      </c>
      <c r="E155" s="156">
        <f t="shared" si="8"/>
        <v>10.56</v>
      </c>
      <c r="F155" s="154">
        <f t="shared" si="9"/>
        <v>0.46208375268017327</v>
      </c>
      <c r="G155" s="156">
        <f t="shared" si="10"/>
        <v>0.46208375268017327</v>
      </c>
      <c r="H155" s="157">
        <v>22.853000000000002</v>
      </c>
      <c r="I155" s="158">
        <v>3.8855878957783301E-2</v>
      </c>
      <c r="J155" s="159">
        <v>3.4452252850357599E-2</v>
      </c>
      <c r="K155" s="171">
        <f t="shared" si="11"/>
        <v>139.85388703259088</v>
      </c>
      <c r="L155" s="173"/>
      <c r="M155" s="7"/>
      <c r="N155" s="7"/>
      <c r="O155" s="7"/>
      <c r="P155" s="7"/>
      <c r="Q155" s="7"/>
      <c r="R155" s="95"/>
    </row>
    <row r="156" spans="1:18" ht="14.4" customHeight="1">
      <c r="A156" s="51"/>
      <c r="B156" s="153">
        <v>41760</v>
      </c>
      <c r="C156" s="154">
        <v>10.55</v>
      </c>
      <c r="D156" s="155">
        <v>0</v>
      </c>
      <c r="E156" s="156">
        <f t="shared" si="8"/>
        <v>10.55</v>
      </c>
      <c r="F156" s="154">
        <f t="shared" si="9"/>
        <v>0.45825731908609163</v>
      </c>
      <c r="G156" s="156">
        <f t="shared" si="10"/>
        <v>0.45825731908609163</v>
      </c>
      <c r="H156" s="157">
        <v>23.021999999999998</v>
      </c>
      <c r="I156" s="158">
        <v>3.8321652598785602E-2</v>
      </c>
      <c r="J156" s="159">
        <v>3.4289889463488203E-2</v>
      </c>
      <c r="K156" s="171">
        <f t="shared" si="11"/>
        <v>141.06184988906426</v>
      </c>
      <c r="L156" s="173"/>
      <c r="M156" s="7"/>
      <c r="N156" s="7"/>
      <c r="O156" s="7"/>
      <c r="P156" s="7"/>
      <c r="Q156" s="7"/>
      <c r="R156" s="95"/>
    </row>
    <row r="157" spans="1:18" ht="14.4" customHeight="1">
      <c r="A157" s="51"/>
      <c r="B157" s="153">
        <v>41791</v>
      </c>
      <c r="C157" s="154">
        <v>10.51</v>
      </c>
      <c r="D157" s="155">
        <v>0</v>
      </c>
      <c r="E157" s="156">
        <f t="shared" si="8"/>
        <v>10.51</v>
      </c>
      <c r="F157" s="154">
        <f t="shared" si="9"/>
        <v>0.45783237497821921</v>
      </c>
      <c r="G157" s="156">
        <f t="shared" si="10"/>
        <v>0.45783237497821921</v>
      </c>
      <c r="H157" s="157">
        <v>22.956</v>
      </c>
      <c r="I157" s="158">
        <v>3.8396867610976097E-2</v>
      </c>
      <c r="J157" s="159">
        <v>3.4056278547467601E-2</v>
      </c>
      <c r="K157" s="171">
        <f t="shared" si="11"/>
        <v>140.83423613974378</v>
      </c>
      <c r="L157" s="173"/>
      <c r="M157" s="7"/>
      <c r="N157" s="7"/>
      <c r="O157" s="7"/>
      <c r="P157" s="7"/>
      <c r="Q157" s="7"/>
      <c r="R157" s="95"/>
    </row>
    <row r="158" spans="1:18" ht="14.4" customHeight="1">
      <c r="A158" s="51"/>
      <c r="B158" s="153">
        <v>41821</v>
      </c>
      <c r="C158" s="154">
        <v>10.18</v>
      </c>
      <c r="D158" s="155">
        <v>0</v>
      </c>
      <c r="E158" s="156">
        <f t="shared" si="8"/>
        <v>10.18</v>
      </c>
      <c r="F158" s="154">
        <f t="shared" si="9"/>
        <v>0.44255097161239837</v>
      </c>
      <c r="G158" s="156">
        <f t="shared" si="10"/>
        <v>0.44255097161239837</v>
      </c>
      <c r="H158" s="157">
        <v>23.003</v>
      </c>
      <c r="I158" s="158">
        <v>3.7404763591441299E-2</v>
      </c>
      <c r="J158" s="159">
        <v>3.3412053331902197E-2</v>
      </c>
      <c r="K158" s="171">
        <f t="shared" si="11"/>
        <v>139.56423876449537</v>
      </c>
      <c r="L158" s="173"/>
      <c r="M158" s="7"/>
      <c r="N158" s="7"/>
      <c r="O158" s="7"/>
      <c r="P158" s="7"/>
      <c r="Q158" s="7"/>
      <c r="R158" s="95"/>
    </row>
    <row r="159" spans="1:18" ht="14.4" customHeight="1">
      <c r="A159" s="51"/>
      <c r="B159" s="153">
        <v>41852</v>
      </c>
      <c r="C159" s="154">
        <v>9.74</v>
      </c>
      <c r="D159" s="155">
        <v>0</v>
      </c>
      <c r="E159" s="156">
        <f t="shared" si="8"/>
        <v>9.74</v>
      </c>
      <c r="F159" s="154">
        <f t="shared" si="9"/>
        <v>0.41062394603709951</v>
      </c>
      <c r="G159" s="156">
        <f t="shared" si="10"/>
        <v>0.41062394603709951</v>
      </c>
      <c r="H159" s="157">
        <v>23.72</v>
      </c>
      <c r="I159" s="158">
        <v>3.6688853254171497E-2</v>
      </c>
      <c r="J159" s="159">
        <v>3.3692989130390198E-2</v>
      </c>
      <c r="K159" s="171">
        <f t="shared" si="11"/>
        <v>134.35724839288804</v>
      </c>
      <c r="L159" s="173"/>
      <c r="M159" s="7"/>
      <c r="N159" s="7"/>
      <c r="O159" s="7"/>
      <c r="P159" s="7"/>
      <c r="Q159" s="7"/>
      <c r="R159" s="95"/>
    </row>
    <row r="160" spans="1:18" ht="14.4" customHeight="1">
      <c r="A160" s="51"/>
      <c r="B160" s="153">
        <v>41883</v>
      </c>
      <c r="C160" s="154">
        <v>9.67</v>
      </c>
      <c r="D160" s="155">
        <v>0</v>
      </c>
      <c r="E160" s="156">
        <f t="shared" si="8"/>
        <v>9.67</v>
      </c>
      <c r="F160" s="154">
        <f t="shared" si="9"/>
        <v>0.39763148155762984</v>
      </c>
      <c r="G160" s="156">
        <f t="shared" si="10"/>
        <v>0.39763148155762984</v>
      </c>
      <c r="H160" s="157">
        <v>24.318999999999999</v>
      </c>
      <c r="I160" s="158">
        <v>3.6461146616984297E-2</v>
      </c>
      <c r="J160" s="159">
        <v>3.3768217867544401E-2</v>
      </c>
      <c r="K160" s="171">
        <f t="shared" si="11"/>
        <v>133.68125403770853</v>
      </c>
      <c r="L160" s="173"/>
      <c r="M160" s="7"/>
      <c r="N160" s="7"/>
      <c r="O160" s="7"/>
      <c r="P160" s="7"/>
      <c r="Q160" s="7"/>
      <c r="R160" s="95"/>
    </row>
    <row r="161" spans="1:18" ht="14.4" customHeight="1">
      <c r="A161" s="51"/>
      <c r="B161" s="153">
        <v>41913</v>
      </c>
      <c r="C161" s="154">
        <v>9.2100000000000009</v>
      </c>
      <c r="D161" s="155">
        <v>0</v>
      </c>
      <c r="E161" s="156">
        <f t="shared" si="8"/>
        <v>9.2100000000000009</v>
      </c>
      <c r="F161" s="154">
        <f t="shared" si="9"/>
        <v>0.378762954433295</v>
      </c>
      <c r="G161" s="156">
        <f t="shared" si="10"/>
        <v>0.378762954433295</v>
      </c>
      <c r="H161" s="157">
        <v>24.315999999999999</v>
      </c>
      <c r="I161" s="158">
        <v>3.6134234024656597E-2</v>
      </c>
      <c r="J161" s="159">
        <v>3.32999314683112E-2</v>
      </c>
      <c r="K161" s="171">
        <f t="shared" si="11"/>
        <v>128.78022669864367</v>
      </c>
      <c r="L161" s="173"/>
      <c r="M161" s="7"/>
      <c r="N161" s="7"/>
      <c r="O161" s="7"/>
      <c r="P161" s="7"/>
      <c r="Q161" s="7"/>
      <c r="R161" s="95"/>
    </row>
    <row r="162" spans="1:18" ht="14.4" customHeight="1">
      <c r="A162" s="51"/>
      <c r="B162" s="153">
        <v>41944</v>
      </c>
      <c r="C162" s="154">
        <v>9.1</v>
      </c>
      <c r="D162" s="155">
        <v>0</v>
      </c>
      <c r="E162" s="156">
        <f t="shared" si="8"/>
        <v>9.1</v>
      </c>
      <c r="F162" s="154">
        <f t="shared" si="9"/>
        <v>0.37927728920935272</v>
      </c>
      <c r="G162" s="156">
        <f t="shared" si="10"/>
        <v>0.37927728920935272</v>
      </c>
      <c r="H162" s="157">
        <v>23.992999999999999</v>
      </c>
      <c r="I162" s="158">
        <v>3.6444661784826297E-2</v>
      </c>
      <c r="J162" s="159">
        <v>3.2806306043221302E-2</v>
      </c>
      <c r="K162" s="171">
        <f t="shared" si="11"/>
        <v>127.57874342273669</v>
      </c>
      <c r="L162" s="173"/>
      <c r="M162" s="7"/>
      <c r="N162" s="7"/>
      <c r="O162" s="7"/>
      <c r="P162" s="7"/>
      <c r="Q162" s="7"/>
      <c r="R162" s="95"/>
    </row>
    <row r="163" spans="1:18" ht="14.4" customHeight="1">
      <c r="A163" s="51"/>
      <c r="B163" s="161">
        <v>41974</v>
      </c>
      <c r="C163" s="162">
        <v>9.07</v>
      </c>
      <c r="D163" s="163">
        <v>0</v>
      </c>
      <c r="E163" s="164">
        <f t="shared" si="8"/>
        <v>9.07</v>
      </c>
      <c r="F163" s="162">
        <f t="shared" si="9"/>
        <v>0.3762392666030614</v>
      </c>
      <c r="G163" s="164">
        <f t="shared" si="10"/>
        <v>0.3762392666030614</v>
      </c>
      <c r="H163" s="165">
        <v>24.106999999999999</v>
      </c>
      <c r="I163" s="166">
        <v>3.6916516650921299E-2</v>
      </c>
      <c r="J163" s="167">
        <v>3.2365486829582998E-2</v>
      </c>
      <c r="K163" s="172">
        <f t="shared" si="11"/>
        <v>127.101192233801</v>
      </c>
      <c r="L163" s="174"/>
      <c r="M163" s="7"/>
      <c r="N163" s="7"/>
      <c r="O163" s="7"/>
      <c r="P163" s="7"/>
      <c r="Q163" s="7"/>
      <c r="R163" s="95"/>
    </row>
    <row r="164" spans="1:18" ht="14.4" customHeight="1">
      <c r="A164" s="51"/>
      <c r="B164" s="145">
        <v>42005</v>
      </c>
      <c r="C164" s="146">
        <v>9.0115521928092992</v>
      </c>
      <c r="D164" s="147">
        <v>0</v>
      </c>
      <c r="E164" s="148">
        <f t="shared" si="8"/>
        <v>9.0115521928092992</v>
      </c>
      <c r="F164" s="146">
        <f t="shared" si="9"/>
        <v>0.36826939897054761</v>
      </c>
      <c r="G164" s="148">
        <f t="shared" si="10"/>
        <v>0.36826939897054761</v>
      </c>
      <c r="H164" s="149">
        <v>24.47</v>
      </c>
      <c r="I164" s="150">
        <v>3.7133287243522203E-2</v>
      </c>
      <c r="J164" s="151">
        <v>3.21745902418651E-2</v>
      </c>
      <c r="K164" s="170">
        <f t="shared" si="11"/>
        <v>126.23499833317811</v>
      </c>
      <c r="L164" s="175"/>
      <c r="M164" s="7"/>
      <c r="N164" s="7"/>
      <c r="O164" s="7"/>
      <c r="P164" s="7"/>
      <c r="Q164" s="7"/>
      <c r="R164" s="95"/>
    </row>
    <row r="165" spans="1:18" ht="14.4" customHeight="1">
      <c r="A165" s="51"/>
      <c r="B165" s="153">
        <v>42036</v>
      </c>
      <c r="C165" s="154">
        <v>9.1436216545399809</v>
      </c>
      <c r="D165" s="155">
        <v>0</v>
      </c>
      <c r="E165" s="156">
        <f t="shared" si="8"/>
        <v>9.1436216545399809</v>
      </c>
      <c r="F165" s="154">
        <f t="shared" si="9"/>
        <v>0.37208519795474809</v>
      </c>
      <c r="G165" s="156">
        <f t="shared" si="10"/>
        <v>0.37208519795474809</v>
      </c>
      <c r="H165" s="157">
        <v>24.574000000000002</v>
      </c>
      <c r="I165" s="158">
        <v>3.7498627941266502E-2</v>
      </c>
      <c r="J165" s="159">
        <v>3.28156385667078E-2</v>
      </c>
      <c r="K165" s="171">
        <f t="shared" si="11"/>
        <v>126.25179807879405</v>
      </c>
      <c r="L165" s="173"/>
      <c r="M165" s="7"/>
      <c r="N165" s="7"/>
      <c r="O165" s="7"/>
      <c r="P165" s="7"/>
      <c r="Q165" s="7"/>
      <c r="R165" s="95"/>
    </row>
    <row r="166" spans="1:18" ht="14.4" customHeight="1">
      <c r="A166" s="51"/>
      <c r="B166" s="153">
        <v>42064</v>
      </c>
      <c r="C166" s="154">
        <v>9.1280965493978705</v>
      </c>
      <c r="D166" s="155">
        <v>0</v>
      </c>
      <c r="E166" s="156">
        <f t="shared" si="8"/>
        <v>9.1280965493978705</v>
      </c>
      <c r="F166" s="154">
        <f t="shared" si="9"/>
        <v>0.36099408959099383</v>
      </c>
      <c r="G166" s="156">
        <f t="shared" si="10"/>
        <v>0.36099408959099383</v>
      </c>
      <c r="H166" s="157">
        <v>25.286000000000001</v>
      </c>
      <c r="I166" s="158">
        <v>3.8605771230139502E-2</v>
      </c>
      <c r="J166" s="159">
        <v>3.3700444937947001E-2</v>
      </c>
      <c r="K166" s="171">
        <f t="shared" si="11"/>
        <v>122.56525274407969</v>
      </c>
      <c r="L166" s="173"/>
      <c r="M166" s="7"/>
      <c r="N166" s="7"/>
      <c r="O166" s="7"/>
      <c r="P166" s="7"/>
      <c r="Q166" s="7"/>
      <c r="R166" s="95"/>
    </row>
    <row r="167" spans="1:18" ht="14.4" customHeight="1">
      <c r="A167" s="51"/>
      <c r="B167" s="153">
        <v>42095</v>
      </c>
      <c r="C167" s="154">
        <v>9.0039205355703693</v>
      </c>
      <c r="D167" s="155">
        <v>0</v>
      </c>
      <c r="E167" s="156">
        <f t="shared" si="8"/>
        <v>9.0039205355703693</v>
      </c>
      <c r="F167" s="154">
        <f t="shared" si="9"/>
        <v>0.34169179672765243</v>
      </c>
      <c r="G167" s="156">
        <f t="shared" si="10"/>
        <v>0.34169179672765243</v>
      </c>
      <c r="H167" s="157">
        <v>26.350999999999999</v>
      </c>
      <c r="I167" s="158">
        <v>3.9585440640588901E-2</v>
      </c>
      <c r="J167" s="159">
        <v>3.3900097534119301E-2</v>
      </c>
      <c r="K167" s="171">
        <f t="shared" si="11"/>
        <v>118.95769752819891</v>
      </c>
      <c r="L167" s="173"/>
      <c r="M167" s="7"/>
      <c r="N167" s="7"/>
      <c r="O167" s="7"/>
      <c r="P167" s="7"/>
      <c r="Q167" s="7"/>
      <c r="R167" s="95"/>
    </row>
    <row r="168" spans="1:18" ht="14.4" customHeight="1">
      <c r="A168" s="51"/>
      <c r="B168" s="153">
        <v>42125</v>
      </c>
      <c r="C168" s="154">
        <v>8.5713806047891996</v>
      </c>
      <c r="D168" s="155">
        <v>0</v>
      </c>
      <c r="E168" s="156">
        <f t="shared" si="8"/>
        <v>8.5713806047891996</v>
      </c>
      <c r="F168" s="154">
        <f t="shared" si="9"/>
        <v>0.32144686310853926</v>
      </c>
      <c r="G168" s="156">
        <f t="shared" si="10"/>
        <v>0.32144686310853926</v>
      </c>
      <c r="H168" s="157">
        <v>26.664999999999999</v>
      </c>
      <c r="I168" s="158">
        <v>3.9045765853379599E-2</v>
      </c>
      <c r="J168" s="159">
        <v>3.3720224136512697E-2</v>
      </c>
      <c r="K168" s="171">
        <f t="shared" si="11"/>
        <v>114.36288771264888</v>
      </c>
      <c r="L168" s="173"/>
      <c r="M168" s="7"/>
      <c r="N168" s="7"/>
      <c r="O168" s="7"/>
      <c r="P168" s="7"/>
      <c r="Q168" s="7"/>
      <c r="R168" s="95"/>
    </row>
    <row r="169" spans="1:18" ht="14.4" customHeight="1">
      <c r="A169" s="51"/>
      <c r="B169" s="153">
        <v>42156</v>
      </c>
      <c r="C169" s="154">
        <v>7.9003450600535698</v>
      </c>
      <c r="D169" s="155">
        <v>0</v>
      </c>
      <c r="E169" s="156">
        <f t="shared" si="8"/>
        <v>7.9003450600535698</v>
      </c>
      <c r="F169" s="154">
        <f t="shared" si="9"/>
        <v>0.29426195843465325</v>
      </c>
      <c r="G169" s="156">
        <f t="shared" si="10"/>
        <v>0.29426195843465325</v>
      </c>
      <c r="H169" s="157">
        <v>26.847999999999999</v>
      </c>
      <c r="I169" s="158">
        <v>3.8547358369020998E-2</v>
      </c>
      <c r="J169" s="159">
        <v>3.3526755193131502E-2</v>
      </c>
      <c r="K169" s="171">
        <f t="shared" si="11"/>
        <v>106.42153671120411</v>
      </c>
      <c r="L169" s="173"/>
      <c r="M169" s="7"/>
      <c r="N169" s="7"/>
      <c r="O169" s="7"/>
      <c r="P169" s="7"/>
      <c r="Q169" s="7"/>
      <c r="R169" s="95"/>
    </row>
    <row r="170" spans="1:18" ht="14.4" customHeight="1">
      <c r="A170" s="51"/>
      <c r="B170" s="153">
        <v>42186</v>
      </c>
      <c r="C170" s="154">
        <v>7.6355363897706701</v>
      </c>
      <c r="D170" s="155">
        <v>0</v>
      </c>
      <c r="E170" s="156">
        <f t="shared" si="8"/>
        <v>7.6355363897706701</v>
      </c>
      <c r="F170" s="154">
        <f t="shared" si="9"/>
        <v>0.27530327707844493</v>
      </c>
      <c r="G170" s="156">
        <f t="shared" si="10"/>
        <v>0.27530327707844493</v>
      </c>
      <c r="H170" s="157">
        <v>27.734999999999999</v>
      </c>
      <c r="I170" s="158">
        <v>3.7943885692989197E-2</v>
      </c>
      <c r="J170" s="159">
        <v>3.3216726661249599E-2</v>
      </c>
      <c r="K170" s="171">
        <f t="shared" si="11"/>
        <v>104.17479390267454</v>
      </c>
      <c r="L170" s="173"/>
      <c r="M170" s="7"/>
      <c r="N170" s="7"/>
      <c r="O170" s="7"/>
      <c r="P170" s="7"/>
      <c r="Q170" s="7"/>
      <c r="R170" s="95"/>
    </row>
    <row r="171" spans="1:18" ht="14.4" customHeight="1">
      <c r="A171" s="51"/>
      <c r="B171" s="153">
        <v>42217</v>
      </c>
      <c r="C171" s="154">
        <v>7.5358267734018796</v>
      </c>
      <c r="D171" s="155">
        <v>0</v>
      </c>
      <c r="E171" s="156">
        <f t="shared" si="8"/>
        <v>7.5358267734018796</v>
      </c>
      <c r="F171" s="154">
        <f t="shared" si="9"/>
        <v>0.2643593199116635</v>
      </c>
      <c r="G171" s="156">
        <f t="shared" si="10"/>
        <v>0.2643593199116635</v>
      </c>
      <c r="H171" s="157">
        <v>28.506</v>
      </c>
      <c r="I171" s="158">
        <v>3.7407004280133903E-2</v>
      </c>
      <c r="J171" s="159">
        <v>3.3184814330953598E-2</v>
      </c>
      <c r="K171" s="171">
        <f t="shared" si="11"/>
        <v>103.64284158074612</v>
      </c>
      <c r="L171" s="173"/>
      <c r="M171" s="7"/>
      <c r="N171" s="7"/>
      <c r="O171" s="7"/>
      <c r="P171" s="7"/>
      <c r="Q171" s="7"/>
      <c r="R171" s="95"/>
    </row>
    <row r="172" spans="1:18" ht="14.4" customHeight="1">
      <c r="A172" s="51"/>
      <c r="B172" s="153">
        <v>42248</v>
      </c>
      <c r="C172" s="154">
        <v>7.5674003294411403</v>
      </c>
      <c r="D172" s="155">
        <v>0</v>
      </c>
      <c r="E172" s="156">
        <f t="shared" si="8"/>
        <v>7.5674003294411403</v>
      </c>
      <c r="F172" s="154">
        <f t="shared" si="9"/>
        <v>0.26239252182528228</v>
      </c>
      <c r="G172" s="156">
        <f t="shared" si="10"/>
        <v>0.26239252182528228</v>
      </c>
      <c r="H172" s="157">
        <v>28.84</v>
      </c>
      <c r="I172" s="158">
        <v>3.6135486648229499E-2</v>
      </c>
      <c r="J172" s="159">
        <v>3.3996697621540603E-2</v>
      </c>
      <c r="K172" s="171">
        <f t="shared" si="11"/>
        <v>104.75918706377382</v>
      </c>
      <c r="L172" s="173"/>
      <c r="M172" s="7"/>
      <c r="N172" s="7"/>
      <c r="O172" s="7"/>
      <c r="P172" s="7"/>
      <c r="Q172" s="7"/>
      <c r="R172" s="95"/>
    </row>
    <row r="173" spans="1:18" ht="14.4" customHeight="1">
      <c r="A173" s="51"/>
      <c r="B173" s="153">
        <v>42278</v>
      </c>
      <c r="C173" s="154">
        <v>7.5657138589907396</v>
      </c>
      <c r="D173" s="155">
        <v>0</v>
      </c>
      <c r="E173" s="156">
        <f t="shared" si="8"/>
        <v>7.5657138589907396</v>
      </c>
      <c r="F173" s="154">
        <f t="shared" si="9"/>
        <v>0.25787224714512219</v>
      </c>
      <c r="G173" s="156">
        <f t="shared" si="10"/>
        <v>0.25787224714512219</v>
      </c>
      <c r="H173" s="157">
        <v>29.338999999999999</v>
      </c>
      <c r="I173" s="158">
        <v>3.5904060675028202E-2</v>
      </c>
      <c r="J173" s="159">
        <v>3.40592490810969E-2</v>
      </c>
      <c r="K173" s="171">
        <f t="shared" si="11"/>
        <v>104.98864743192043</v>
      </c>
      <c r="L173" s="173"/>
      <c r="M173" s="7"/>
      <c r="N173" s="7"/>
      <c r="O173" s="7"/>
      <c r="P173" s="7"/>
      <c r="Q173" s="7"/>
      <c r="R173" s="95"/>
    </row>
    <row r="174" spans="1:18" ht="14.4" customHeight="1">
      <c r="A174" s="51"/>
      <c r="B174" s="153">
        <v>42309</v>
      </c>
      <c r="C174" s="154">
        <v>7.4798361691682196</v>
      </c>
      <c r="D174" s="155">
        <v>0</v>
      </c>
      <c r="E174" s="156">
        <f t="shared" si="8"/>
        <v>7.4798361691682196</v>
      </c>
      <c r="F174" s="154">
        <f t="shared" si="9"/>
        <v>0.25329617911169044</v>
      </c>
      <c r="G174" s="156">
        <f t="shared" si="10"/>
        <v>0.25329617911169044</v>
      </c>
      <c r="H174" s="157">
        <v>29.53</v>
      </c>
      <c r="I174" s="158">
        <v>3.6136426427680501E-2</v>
      </c>
      <c r="J174" s="159">
        <v>3.3199123328767802E-2</v>
      </c>
      <c r="K174" s="171">
        <f t="shared" si="11"/>
        <v>104.73670272722892</v>
      </c>
      <c r="L174" s="173"/>
      <c r="M174" s="7"/>
      <c r="N174" s="7"/>
      <c r="O174" s="7"/>
      <c r="P174" s="7"/>
      <c r="Q174" s="7"/>
      <c r="R174" s="95"/>
    </row>
    <row r="175" spans="1:18" ht="14.4" customHeight="1">
      <c r="A175" s="51"/>
      <c r="B175" s="161">
        <v>42339</v>
      </c>
      <c r="C175" s="176">
        <v>7.4986725603813502</v>
      </c>
      <c r="D175" s="177">
        <v>0</v>
      </c>
      <c r="E175" s="178">
        <f t="shared" si="8"/>
        <v>7.4986725603813502</v>
      </c>
      <c r="F175" s="162">
        <f t="shared" si="9"/>
        <v>0.25180230222905808</v>
      </c>
      <c r="G175" s="164">
        <f t="shared" si="10"/>
        <v>0.25180230222905808</v>
      </c>
      <c r="H175" s="165">
        <v>29.78</v>
      </c>
      <c r="I175" s="166">
        <v>3.6214304164559098E-2</v>
      </c>
      <c r="J175" s="167">
        <v>3.2364833243887801E-2</v>
      </c>
      <c r="K175" s="172">
        <f t="shared" si="11"/>
        <v>106.1585913274079</v>
      </c>
      <c r="L175" s="174"/>
      <c r="M175" s="7"/>
      <c r="N175" s="7"/>
      <c r="O175" s="7"/>
      <c r="P175" s="7"/>
      <c r="Q175" s="7"/>
      <c r="R175" s="95"/>
    </row>
    <row r="176" spans="1:18" ht="14.4" customHeight="1">
      <c r="A176" s="51"/>
      <c r="B176" s="145">
        <v>42370</v>
      </c>
      <c r="C176" s="146">
        <v>7.33</v>
      </c>
      <c r="D176" s="147">
        <v>0</v>
      </c>
      <c r="E176" s="148">
        <f t="shared" si="8"/>
        <v>7.33</v>
      </c>
      <c r="F176" s="146">
        <f t="shared" si="9"/>
        <v>0.23784801090271918</v>
      </c>
      <c r="G176" s="148">
        <f t="shared" si="10"/>
        <v>0.23784801090271918</v>
      </c>
      <c r="H176" s="149">
        <v>30.818000000000001</v>
      </c>
      <c r="I176" s="150">
        <v>3.68789712204955E-2</v>
      </c>
      <c r="J176" s="151">
        <v>3.2158253909098898E-2</v>
      </c>
      <c r="K176" s="170">
        <f t="shared" si="11"/>
        <v>103.0821392518321</v>
      </c>
      <c r="L176" s="175"/>
      <c r="M176" s="7"/>
      <c r="N176" s="7"/>
      <c r="O176" s="7"/>
      <c r="P176" s="7"/>
      <c r="Q176" s="7"/>
      <c r="R176" s="95"/>
    </row>
    <row r="177" spans="1:18" ht="14.4" customHeight="1">
      <c r="A177" s="51"/>
      <c r="B177" s="153">
        <v>42401</v>
      </c>
      <c r="C177" s="154">
        <v>7.49</v>
      </c>
      <c r="D177" s="155">
        <v>0</v>
      </c>
      <c r="E177" s="156">
        <f t="shared" si="8"/>
        <v>7.49</v>
      </c>
      <c r="F177" s="154">
        <f t="shared" si="9"/>
        <v>0.23589065255731925</v>
      </c>
      <c r="G177" s="156">
        <f t="shared" si="10"/>
        <v>0.23589065255731925</v>
      </c>
      <c r="H177" s="157">
        <v>31.751999999999999</v>
      </c>
      <c r="I177" s="158">
        <v>3.7586079667827198E-2</v>
      </c>
      <c r="J177" s="159">
        <v>3.2640208444033897E-2</v>
      </c>
      <c r="K177" s="171">
        <f t="shared" si="11"/>
        <v>103.54875440107409</v>
      </c>
      <c r="L177" s="173"/>
      <c r="M177" s="7"/>
      <c r="N177" s="7"/>
      <c r="O177" s="7"/>
      <c r="P177" s="7"/>
      <c r="Q177" s="7"/>
      <c r="R177" s="95"/>
    </row>
    <row r="178" spans="1:18" ht="14.4" customHeight="1">
      <c r="A178" s="51"/>
      <c r="B178" s="153">
        <v>42430</v>
      </c>
      <c r="C178" s="154">
        <v>7.86</v>
      </c>
      <c r="D178" s="155">
        <v>0</v>
      </c>
      <c r="E178" s="156">
        <f t="shared" si="8"/>
        <v>7.86</v>
      </c>
      <c r="F178" s="154">
        <f t="shared" si="9"/>
        <v>0.2443801884152598</v>
      </c>
      <c r="G178" s="156">
        <f t="shared" si="10"/>
        <v>0.2443801884152598</v>
      </c>
      <c r="H178" s="157">
        <v>32.162999999999997</v>
      </c>
      <c r="I178" s="158">
        <v>3.92981184334142E-2</v>
      </c>
      <c r="J178" s="159">
        <v>3.4235599122441798E-2</v>
      </c>
      <c r="K178" s="171">
        <f t="shared" si="11"/>
        <v>103.77644725181359</v>
      </c>
      <c r="L178" s="173"/>
      <c r="M178" s="7"/>
      <c r="N178" s="7"/>
      <c r="O178" s="7"/>
      <c r="P178" s="7"/>
      <c r="Q178" s="7"/>
      <c r="R178" s="95"/>
    </row>
    <row r="179" spans="1:18" ht="14.4" customHeight="1">
      <c r="A179" s="51"/>
      <c r="B179" s="153">
        <v>42461</v>
      </c>
      <c r="C179" s="154">
        <v>7.97</v>
      </c>
      <c r="D179" s="155">
        <v>0</v>
      </c>
      <c r="E179" s="156">
        <f t="shared" si="8"/>
        <v>7.97</v>
      </c>
      <c r="F179" s="154">
        <f t="shared" si="9"/>
        <v>0.25289544661272406</v>
      </c>
      <c r="G179" s="156">
        <f t="shared" si="10"/>
        <v>0.25289544661272406</v>
      </c>
      <c r="H179" s="157">
        <v>31.515000000000001</v>
      </c>
      <c r="I179" s="158">
        <v>4.0670079047558899E-2</v>
      </c>
      <c r="J179" s="159">
        <v>3.3929730653260402E-2</v>
      </c>
      <c r="K179" s="157">
        <f t="shared" si="11"/>
        <v>103.72498413471047</v>
      </c>
      <c r="L179" s="173"/>
      <c r="M179" s="7"/>
      <c r="N179" s="7"/>
      <c r="O179" s="7"/>
      <c r="P179" s="7"/>
      <c r="Q179" s="7"/>
      <c r="R179" s="95"/>
    </row>
    <row r="180" spans="1:18" ht="14.4" customHeight="1">
      <c r="A180" s="51"/>
      <c r="B180" s="153">
        <v>42491</v>
      </c>
      <c r="C180" s="154">
        <v>8.7200000000000006</v>
      </c>
      <c r="D180" s="155">
        <v>0</v>
      </c>
      <c r="E180" s="156">
        <f t="shared" si="8"/>
        <v>8.7200000000000006</v>
      </c>
      <c r="F180" s="154">
        <f t="shared" si="9"/>
        <v>0.27761859280483925</v>
      </c>
      <c r="G180" s="156">
        <f t="shared" si="10"/>
        <v>0.27761859280483925</v>
      </c>
      <c r="H180" s="157">
        <v>31.41</v>
      </c>
      <c r="I180" s="158">
        <v>3.99061468938013E-2</v>
      </c>
      <c r="J180" s="159">
        <v>3.42315637730711E-2</v>
      </c>
      <c r="K180" s="157">
        <f t="shared" si="11"/>
        <v>114.19315947745704</v>
      </c>
      <c r="L180" s="179" t="s">
        <v>71</v>
      </c>
      <c r="M180" s="7"/>
      <c r="N180" s="7"/>
      <c r="O180" s="7"/>
      <c r="P180" s="7"/>
      <c r="Q180" s="7"/>
      <c r="R180" s="95"/>
    </row>
    <row r="181" spans="1:18" ht="14.4" customHeight="1">
      <c r="A181" s="51"/>
      <c r="B181" s="153">
        <v>42522</v>
      </c>
      <c r="C181" s="154">
        <v>8.66</v>
      </c>
      <c r="D181" s="155">
        <v>0</v>
      </c>
      <c r="E181" s="156">
        <f t="shared" si="8"/>
        <v>8.66</v>
      </c>
      <c r="F181" s="154">
        <f t="shared" si="9"/>
        <v>0.28136980960426278</v>
      </c>
      <c r="G181" s="156">
        <f t="shared" si="10"/>
        <v>0.28136980960426278</v>
      </c>
      <c r="H181" s="157">
        <v>30.777999999999999</v>
      </c>
      <c r="I181" s="158">
        <v>3.9386025519797398E-2</v>
      </c>
      <c r="J181" s="159">
        <v>3.3909731198972302E-2</v>
      </c>
      <c r="K181" s="157">
        <f t="shared" si="11"/>
        <v>114.71014648980611</v>
      </c>
      <c r="L181" s="179" t="s">
        <v>72</v>
      </c>
      <c r="M181" s="7"/>
      <c r="N181" s="7"/>
      <c r="O181" s="7"/>
      <c r="P181" s="7"/>
      <c r="Q181" s="7"/>
      <c r="R181" s="95"/>
    </row>
    <row r="182" spans="1:18" ht="14.4" customHeight="1">
      <c r="A182" s="51"/>
      <c r="B182" s="153">
        <v>42552</v>
      </c>
      <c r="C182" s="154">
        <v>8.7899999999999991</v>
      </c>
      <c r="D182" s="155">
        <v>0</v>
      </c>
      <c r="E182" s="156">
        <f t="shared" si="8"/>
        <v>8.7899999999999991</v>
      </c>
      <c r="F182" s="154">
        <f t="shared" si="9"/>
        <v>0.29263907846988713</v>
      </c>
      <c r="G182" s="156">
        <f t="shared" si="10"/>
        <v>0.29263907846988713</v>
      </c>
      <c r="H182" s="157">
        <v>30.036999999999999</v>
      </c>
      <c r="I182" s="158">
        <v>3.8910933826431397E-2</v>
      </c>
      <c r="J182" s="159">
        <v>3.3524259056451997E-2</v>
      </c>
      <c r="K182" s="157">
        <f t="shared" si="11"/>
        <v>117.81539115002303</v>
      </c>
      <c r="L182" s="179" t="s">
        <v>73</v>
      </c>
      <c r="M182" s="7"/>
      <c r="N182" s="7"/>
      <c r="O182" s="7"/>
      <c r="P182" s="7"/>
      <c r="Q182" s="7"/>
      <c r="R182" s="95"/>
    </row>
    <row r="183" spans="1:18" ht="14.4" customHeight="1">
      <c r="A183" s="51"/>
      <c r="B183" s="153">
        <v>42583</v>
      </c>
      <c r="C183" s="154">
        <v>8.75</v>
      </c>
      <c r="D183" s="155">
        <v>0</v>
      </c>
      <c r="E183" s="156">
        <f t="shared" si="8"/>
        <v>8.75</v>
      </c>
      <c r="F183" s="154">
        <f t="shared" si="9"/>
        <v>0.3028624831262331</v>
      </c>
      <c r="G183" s="156">
        <f t="shared" si="10"/>
        <v>0.3028624831262331</v>
      </c>
      <c r="H183" s="157">
        <v>28.890999999999998</v>
      </c>
      <c r="I183" s="158">
        <v>3.6811999999999998E-2</v>
      </c>
      <c r="J183" s="159">
        <v>3.3243000000000002E-2</v>
      </c>
      <c r="K183" s="157">
        <f t="shared" si="11"/>
        <v>121.26394448744502</v>
      </c>
      <c r="L183" s="179" t="s">
        <v>74</v>
      </c>
      <c r="M183" s="7"/>
      <c r="N183" s="7"/>
      <c r="O183" s="7"/>
      <c r="P183" s="7"/>
      <c r="Q183" s="7"/>
      <c r="R183" s="95"/>
    </row>
    <row r="184" spans="1:18" ht="14.4" customHeight="1">
      <c r="A184" s="51"/>
      <c r="B184" s="180" t="s">
        <v>75</v>
      </c>
      <c r="C184" s="154">
        <v>8.75</v>
      </c>
      <c r="D184" s="155">
        <v>0</v>
      </c>
      <c r="E184" s="156">
        <f t="shared" si="8"/>
        <v>8.75</v>
      </c>
      <c r="F184" s="154">
        <f t="shared" si="9"/>
        <v>0.30403057678943712</v>
      </c>
      <c r="G184" s="156">
        <f t="shared" si="10"/>
        <v>0.30403057678943712</v>
      </c>
      <c r="H184" s="157">
        <v>28.78</v>
      </c>
      <c r="I184" s="158">
        <v>3.7234428511228199E-2</v>
      </c>
      <c r="J184" s="159">
        <v>3.3985497201385599E-2</v>
      </c>
      <c r="K184" s="157">
        <f t="shared" si="11"/>
        <v>119.2804618379907</v>
      </c>
      <c r="L184" s="173"/>
      <c r="M184" s="7"/>
      <c r="N184" s="7"/>
      <c r="O184" s="7"/>
      <c r="P184" s="7"/>
      <c r="Q184" s="7"/>
      <c r="R184" s="95"/>
    </row>
    <row r="185" spans="1:18" ht="14.4" customHeight="1">
      <c r="A185" s="51"/>
      <c r="B185" s="153">
        <v>42644</v>
      </c>
      <c r="C185" s="154">
        <v>8.9</v>
      </c>
      <c r="D185" s="155">
        <v>0</v>
      </c>
      <c r="E185" s="156">
        <f t="shared" si="8"/>
        <v>8.9</v>
      </c>
      <c r="F185" s="154">
        <f t="shared" si="9"/>
        <v>0.31615217931867429</v>
      </c>
      <c r="G185" s="156">
        <f t="shared" si="10"/>
        <v>0.31615217931867429</v>
      </c>
      <c r="H185" s="157">
        <v>28.151</v>
      </c>
      <c r="I185" s="158">
        <v>3.6168997494555898E-2</v>
      </c>
      <c r="J185" s="159">
        <v>3.3333538231071602E-2</v>
      </c>
      <c r="K185" s="157">
        <f t="shared" si="11"/>
        <v>124.32318632430894</v>
      </c>
      <c r="L185" s="173"/>
      <c r="M185" s="7"/>
      <c r="N185" s="7"/>
      <c r="O185" s="7"/>
      <c r="P185" s="7"/>
      <c r="Q185" s="7"/>
      <c r="R185" s="95"/>
    </row>
    <row r="186" spans="1:18" ht="14.4" customHeight="1">
      <c r="A186" s="51"/>
      <c r="B186" s="153">
        <v>42675</v>
      </c>
      <c r="C186" s="154">
        <v>8.89</v>
      </c>
      <c r="D186" s="155">
        <v>0</v>
      </c>
      <c r="E186" s="156">
        <f t="shared" si="8"/>
        <v>8.89</v>
      </c>
      <c r="F186" s="154">
        <f t="shared" si="9"/>
        <v>0.30941110956424894</v>
      </c>
      <c r="G186" s="156">
        <f t="shared" si="10"/>
        <v>0.30941110956424894</v>
      </c>
      <c r="H186" s="157">
        <v>28.731999999999999</v>
      </c>
      <c r="I186" s="158">
        <v>3.56652635379653E-2</v>
      </c>
      <c r="J186" s="159">
        <v>3.2591569349782003E-2</v>
      </c>
      <c r="K186" s="157">
        <f t="shared" si="11"/>
        <v>126.44987462807406</v>
      </c>
      <c r="L186" s="173"/>
      <c r="M186" s="7"/>
      <c r="N186" s="7"/>
      <c r="O186" s="7"/>
      <c r="P186" s="7"/>
      <c r="Q186" s="7"/>
      <c r="R186" s="95"/>
    </row>
    <row r="187" spans="1:18" ht="14.4" customHeight="1">
      <c r="A187" s="51"/>
      <c r="B187" s="161">
        <v>42705</v>
      </c>
      <c r="C187" s="176">
        <v>9.0299999999999994</v>
      </c>
      <c r="D187" s="177">
        <v>0</v>
      </c>
      <c r="E187" s="178">
        <f t="shared" si="8"/>
        <v>9.0299999999999994</v>
      </c>
      <c r="F187" s="162">
        <f t="shared" si="9"/>
        <v>0.31310679611650483</v>
      </c>
      <c r="G187" s="164">
        <f t="shared" si="10"/>
        <v>0.31310679611650483</v>
      </c>
      <c r="H187" s="165">
        <v>28.84</v>
      </c>
      <c r="I187" s="166">
        <v>3.6428317054760198E-2</v>
      </c>
      <c r="J187" s="167">
        <v>3.2611495727555902E-2</v>
      </c>
      <c r="K187" s="86">
        <f t="shared" si="11"/>
        <v>126.98456061728655</v>
      </c>
      <c r="L187" s="174"/>
      <c r="M187" s="7"/>
      <c r="N187" s="7"/>
      <c r="O187" s="7"/>
      <c r="P187" s="7"/>
      <c r="Q187" s="7"/>
      <c r="R187" s="95"/>
    </row>
    <row r="188" spans="1:18" ht="14.4" customHeight="1">
      <c r="A188" s="51"/>
      <c r="B188" s="145">
        <v>42736</v>
      </c>
      <c r="C188" s="146">
        <v>9.0299999999999994</v>
      </c>
      <c r="D188" s="147">
        <v>0</v>
      </c>
      <c r="E188" s="148">
        <f t="shared" si="8"/>
        <v>9.0299999999999994</v>
      </c>
      <c r="F188" s="146">
        <f t="shared" si="9"/>
        <v>0.31561287616650935</v>
      </c>
      <c r="G188" s="148">
        <f t="shared" si="10"/>
        <v>0.31561287616650935</v>
      </c>
      <c r="H188" s="149">
        <v>28.611000000000001</v>
      </c>
      <c r="I188" s="150">
        <v>3.7103205319530798E-2</v>
      </c>
      <c r="J188" s="151">
        <v>3.2744991207778899E-2</v>
      </c>
      <c r="K188" s="149">
        <f t="shared" si="11"/>
        <v>125.51491272697871</v>
      </c>
      <c r="L188" s="175"/>
      <c r="M188" s="7"/>
      <c r="N188" s="7"/>
      <c r="O188" s="7"/>
      <c r="P188" s="7"/>
      <c r="Q188" s="7"/>
      <c r="R188" s="95"/>
    </row>
    <row r="189" spans="1:18" ht="14.4" customHeight="1">
      <c r="A189" s="51"/>
      <c r="B189" s="153">
        <v>42767</v>
      </c>
      <c r="C189" s="181">
        <v>9.5500000000000007</v>
      </c>
      <c r="D189" s="182">
        <v>0</v>
      </c>
      <c r="E189" s="183">
        <f t="shared" si="8"/>
        <v>9.5500000000000007</v>
      </c>
      <c r="F189" s="154">
        <f t="shared" si="9"/>
        <v>0.33553509943082005</v>
      </c>
      <c r="G189" s="156">
        <f t="shared" si="10"/>
        <v>0.33553509943082005</v>
      </c>
      <c r="H189" s="157">
        <v>28.462</v>
      </c>
      <c r="I189" s="158">
        <v>3.83020441934716E-2</v>
      </c>
      <c r="J189" s="159">
        <v>3.29952698234924E-2</v>
      </c>
      <c r="K189" s="85">
        <f t="shared" si="11"/>
        <v>130.04479604923259</v>
      </c>
      <c r="L189" s="173"/>
      <c r="M189" s="7"/>
      <c r="N189" s="7"/>
      <c r="O189" s="7"/>
      <c r="P189" s="7"/>
      <c r="Q189" s="7"/>
      <c r="R189" s="95"/>
    </row>
    <row r="190" spans="1:18" ht="14.4" customHeight="1">
      <c r="A190" s="51"/>
      <c r="B190" s="153">
        <v>42795</v>
      </c>
      <c r="C190" s="181">
        <v>9.8699999999999992</v>
      </c>
      <c r="D190" s="182">
        <v>0</v>
      </c>
      <c r="E190" s="183">
        <f t="shared" si="8"/>
        <v>9.8699999999999992</v>
      </c>
      <c r="F190" s="154">
        <f t="shared" si="9"/>
        <v>0.34733952702702697</v>
      </c>
      <c r="G190" s="156">
        <f t="shared" si="10"/>
        <v>0.34733952702702697</v>
      </c>
      <c r="H190" s="157">
        <v>28.416</v>
      </c>
      <c r="I190" s="158">
        <v>3.8643245509654603E-2</v>
      </c>
      <c r="J190" s="159">
        <v>3.4068480371927203E-2</v>
      </c>
      <c r="K190" s="85">
        <f t="shared" si="11"/>
        <v>131.7878809182819</v>
      </c>
      <c r="L190" s="173"/>
      <c r="M190" s="7"/>
      <c r="N190" s="7"/>
      <c r="O190" s="7"/>
      <c r="P190" s="7"/>
      <c r="Q190" s="7"/>
      <c r="R190" s="95"/>
    </row>
    <row r="191" spans="1:18" ht="14.25" customHeight="1">
      <c r="A191" s="51"/>
      <c r="B191" s="153">
        <v>42826</v>
      </c>
      <c r="C191" s="181">
        <v>10.07</v>
      </c>
      <c r="D191" s="182">
        <v>0</v>
      </c>
      <c r="E191" s="183">
        <f t="shared" si="8"/>
        <v>10.07</v>
      </c>
      <c r="F191" s="154">
        <f t="shared" si="9"/>
        <v>0.35454001337886848</v>
      </c>
      <c r="G191" s="156">
        <f t="shared" si="10"/>
        <v>0.35454001337886848</v>
      </c>
      <c r="H191" s="157">
        <v>28.402999999999999</v>
      </c>
      <c r="I191" s="158">
        <v>3.9275763276752002E-2</v>
      </c>
      <c r="J191" s="159">
        <v>3.44290938884955E-2</v>
      </c>
      <c r="K191" s="85">
        <f t="shared" si="11"/>
        <v>132.64660437787288</v>
      </c>
      <c r="L191" s="173"/>
      <c r="M191" s="7"/>
      <c r="N191" s="7"/>
      <c r="O191" s="7"/>
      <c r="P191" s="7"/>
      <c r="Q191" s="7"/>
      <c r="R191" s="95"/>
    </row>
    <row r="192" spans="1:18" ht="14.25" customHeight="1">
      <c r="A192" s="51"/>
      <c r="B192" s="153">
        <v>42856</v>
      </c>
      <c r="C192" s="181">
        <v>10.23</v>
      </c>
      <c r="D192" s="182">
        <v>0</v>
      </c>
      <c r="E192" s="183">
        <f t="shared" si="8"/>
        <v>10.23</v>
      </c>
      <c r="F192" s="154">
        <f t="shared" si="9"/>
        <v>0.36365575343926632</v>
      </c>
      <c r="G192" s="156">
        <f t="shared" si="10"/>
        <v>0.36365575343926632</v>
      </c>
      <c r="H192" s="157">
        <v>28.131</v>
      </c>
      <c r="I192" s="158">
        <v>3.9581999999999999E-2</v>
      </c>
      <c r="J192" s="159">
        <v>3.4439999999999998E-2</v>
      </c>
      <c r="K192" s="85">
        <f t="shared" si="11"/>
        <v>134.17685059781491</v>
      </c>
      <c r="L192" s="184"/>
      <c r="M192" s="7"/>
      <c r="N192" s="7"/>
      <c r="O192" s="7"/>
      <c r="P192" s="7"/>
      <c r="Q192" s="7"/>
      <c r="R192" s="95"/>
    </row>
    <row r="193" spans="1:18" ht="14.25" customHeight="1">
      <c r="A193" s="51"/>
      <c r="B193" s="153">
        <v>42887</v>
      </c>
      <c r="C193" s="181">
        <v>10.130000000000001</v>
      </c>
      <c r="D193" s="182">
        <v>0</v>
      </c>
      <c r="E193" s="183">
        <f t="shared" si="8"/>
        <v>10.130000000000001</v>
      </c>
      <c r="F193" s="154">
        <f t="shared" si="9"/>
        <v>0.35694150810429887</v>
      </c>
      <c r="G193" s="156">
        <f t="shared" si="10"/>
        <v>0.35694150810429887</v>
      </c>
      <c r="H193" s="157">
        <v>28.38</v>
      </c>
      <c r="I193" s="158">
        <v>3.8579279580492502E-2</v>
      </c>
      <c r="J193" s="159">
        <v>3.4555351969310602E-2</v>
      </c>
      <c r="K193" s="85">
        <f t="shared" si="11"/>
        <v>134.47735016772856</v>
      </c>
      <c r="L193" s="184"/>
      <c r="M193" s="7"/>
      <c r="N193" s="7"/>
      <c r="O193" s="7"/>
      <c r="P193" s="7"/>
      <c r="Q193" s="7"/>
      <c r="R193" s="95"/>
    </row>
    <row r="194" spans="1:18" ht="14.25" customHeight="1">
      <c r="A194" s="51"/>
      <c r="B194" s="153">
        <v>42917</v>
      </c>
      <c r="C194" s="181">
        <v>9.91</v>
      </c>
      <c r="D194" s="182">
        <v>0</v>
      </c>
      <c r="E194" s="183">
        <f t="shared" si="8"/>
        <v>9.91</v>
      </c>
      <c r="F194" s="154">
        <f t="shared" si="9"/>
        <v>0.34600747180615204</v>
      </c>
      <c r="G194" s="156">
        <f t="shared" si="10"/>
        <v>0.34600747180615204</v>
      </c>
      <c r="H194" s="157">
        <v>28.640999999999998</v>
      </c>
      <c r="I194" s="158">
        <v>3.8020166593852198E-2</v>
      </c>
      <c r="J194" s="159">
        <v>3.38012924286622E-2</v>
      </c>
      <c r="K194" s="85">
        <f t="shared" si="11"/>
        <v>133.96218002595705</v>
      </c>
      <c r="L194" s="184"/>
      <c r="M194" s="7"/>
      <c r="N194" s="7"/>
      <c r="O194" s="7"/>
      <c r="P194" s="7"/>
      <c r="Q194" s="7"/>
      <c r="R194" s="95"/>
    </row>
    <row r="195" spans="1:18" ht="14.25" customHeight="1">
      <c r="A195" s="51"/>
      <c r="B195" s="153">
        <v>42948</v>
      </c>
      <c r="C195" s="181">
        <v>9.9633363527126395</v>
      </c>
      <c r="D195" s="182">
        <v>0.133336352712638</v>
      </c>
      <c r="E195" s="183">
        <f t="shared" si="8"/>
        <v>9.8300000000000018</v>
      </c>
      <c r="F195" s="154">
        <f t="shared" si="9"/>
        <v>0.34746935735204854</v>
      </c>
      <c r="G195" s="156">
        <f t="shared" si="10"/>
        <v>0.34281927878914703</v>
      </c>
      <c r="H195" s="157">
        <v>28.673999999999999</v>
      </c>
      <c r="I195" s="158">
        <v>3.7095999999999997E-2</v>
      </c>
      <c r="J195" s="159">
        <v>3.3940999999999999E-2</v>
      </c>
      <c r="K195" s="85">
        <f t="shared" si="11"/>
        <v>136.17047580855433</v>
      </c>
      <c r="L195" s="179" t="s">
        <v>76</v>
      </c>
      <c r="M195" s="7"/>
      <c r="N195" s="7"/>
      <c r="O195" s="7"/>
      <c r="P195" s="7"/>
      <c r="Q195" s="7"/>
      <c r="R195" s="95"/>
    </row>
    <row r="196" spans="1:18" ht="14.4" customHeight="1">
      <c r="A196" s="51"/>
      <c r="B196" s="153">
        <v>42979</v>
      </c>
      <c r="C196" s="181">
        <v>9.7931484652167402</v>
      </c>
      <c r="D196" s="182">
        <v>0.13314846521673701</v>
      </c>
      <c r="E196" s="183">
        <f t="shared" si="8"/>
        <v>9.6600000000000037</v>
      </c>
      <c r="F196" s="154">
        <f t="shared" si="9"/>
        <v>0.33873433866752239</v>
      </c>
      <c r="G196" s="156">
        <f t="shared" si="10"/>
        <v>0.33412887828162302</v>
      </c>
      <c r="H196" s="157">
        <v>28.911000000000001</v>
      </c>
      <c r="I196" s="158">
        <v>3.7468909359508001E-2</v>
      </c>
      <c r="J196" s="159">
        <v>3.3155226351099298E-2</v>
      </c>
      <c r="K196" s="85">
        <f t="shared" si="11"/>
        <v>134.62693788195077</v>
      </c>
      <c r="L196" s="179" t="s">
        <v>76</v>
      </c>
      <c r="M196" s="7"/>
      <c r="N196" s="7"/>
      <c r="O196" s="7"/>
      <c r="P196" s="7"/>
      <c r="Q196" s="7"/>
      <c r="R196" s="95"/>
    </row>
    <row r="197" spans="1:18" ht="14.4" customHeight="1">
      <c r="A197" s="51"/>
      <c r="B197" s="153">
        <v>43009</v>
      </c>
      <c r="C197" s="181">
        <v>9.7448852883351709</v>
      </c>
      <c r="D197" s="182">
        <v>0.134885288335166</v>
      </c>
      <c r="E197" s="183">
        <f t="shared" si="8"/>
        <v>9.6100000000000048</v>
      </c>
      <c r="F197" s="154">
        <f t="shared" si="9"/>
        <v>0.33203466177161645</v>
      </c>
      <c r="G197" s="156">
        <f t="shared" si="10"/>
        <v>0.32743875430167996</v>
      </c>
      <c r="H197" s="157">
        <v>29.349</v>
      </c>
      <c r="I197" s="158">
        <v>3.68089009845406E-2</v>
      </c>
      <c r="J197" s="159">
        <v>3.3003554051710897E-2</v>
      </c>
      <c r="K197" s="85">
        <f t="shared" si="11"/>
        <v>135.52099941310576</v>
      </c>
      <c r="L197" s="179" t="s">
        <v>76</v>
      </c>
      <c r="M197" s="7"/>
      <c r="N197" s="7"/>
      <c r="O197" s="7"/>
      <c r="P197" s="7"/>
      <c r="Q197" s="7"/>
      <c r="R197" s="95"/>
    </row>
    <row r="198" spans="1:18" ht="14.4" customHeight="1">
      <c r="A198" s="51"/>
      <c r="B198" s="153">
        <v>43040</v>
      </c>
      <c r="C198" s="154">
        <v>9.6755984763061509</v>
      </c>
      <c r="D198" s="155">
        <v>0.13559847630614599</v>
      </c>
      <c r="E198" s="156">
        <f t="shared" si="8"/>
        <v>9.5400000000000045</v>
      </c>
      <c r="F198" s="154">
        <f t="shared" si="9"/>
        <v>0.33100470309965963</v>
      </c>
      <c r="G198" s="156">
        <f t="shared" si="10"/>
        <v>0.3263658444801753</v>
      </c>
      <c r="H198" s="157">
        <v>29.231000000000002</v>
      </c>
      <c r="I198" s="158">
        <v>3.5943881043044003E-2</v>
      </c>
      <c r="J198" s="159">
        <v>3.28799920472478E-2</v>
      </c>
      <c r="K198" s="85">
        <f t="shared" si="11"/>
        <v>136.49021054262124</v>
      </c>
      <c r="L198" s="179" t="s">
        <v>77</v>
      </c>
      <c r="M198" s="7"/>
      <c r="N198" s="7"/>
      <c r="O198" s="7"/>
      <c r="P198" s="7"/>
      <c r="Q198" s="7"/>
      <c r="R198" s="95"/>
    </row>
    <row r="199" spans="1:18" ht="14.4" customHeight="1">
      <c r="A199" s="51"/>
      <c r="B199" s="161">
        <v>43070</v>
      </c>
      <c r="C199" s="176">
        <v>9.5345921921821404</v>
      </c>
      <c r="D199" s="177">
        <v>0.134592192182136</v>
      </c>
      <c r="E199" s="178">
        <f t="shared" si="8"/>
        <v>9.4000000000000039</v>
      </c>
      <c r="F199" s="162">
        <f t="shared" si="9"/>
        <v>0.33014515900907687</v>
      </c>
      <c r="G199" s="164">
        <f t="shared" si="10"/>
        <v>0.32548476454293646</v>
      </c>
      <c r="H199" s="86">
        <v>28.88</v>
      </c>
      <c r="I199" s="166">
        <v>3.6488033689386003E-2</v>
      </c>
      <c r="J199" s="167">
        <v>3.2233687302166802E-2</v>
      </c>
      <c r="K199" s="86">
        <f t="shared" si="11"/>
        <v>134.70101577659344</v>
      </c>
      <c r="L199" s="185" t="s">
        <v>76</v>
      </c>
      <c r="M199" s="7"/>
      <c r="N199" s="7"/>
      <c r="O199" s="7"/>
      <c r="P199" s="7"/>
      <c r="Q199" s="7"/>
      <c r="R199" s="95"/>
    </row>
    <row r="200" spans="1:18" ht="14.4" customHeight="1">
      <c r="A200" s="51"/>
      <c r="B200" s="145">
        <v>43101</v>
      </c>
      <c r="C200" s="146">
        <v>9.5990399504681196</v>
      </c>
      <c r="D200" s="147">
        <v>0.13903995046812401</v>
      </c>
      <c r="E200" s="148">
        <f t="shared" ref="E200:E223" si="12">C200-D200</f>
        <v>9.4599999999999955</v>
      </c>
      <c r="F200" s="146">
        <f t="shared" ref="F200:F247" si="13">C200/H200</f>
        <v>0.33646605035115568</v>
      </c>
      <c r="G200" s="148">
        <f t="shared" ref="G200:G245" si="14">E200/H200</f>
        <v>0.33159241473588263</v>
      </c>
      <c r="H200" s="149">
        <v>28.529</v>
      </c>
      <c r="I200" s="150">
        <v>3.68441489045662E-2</v>
      </c>
      <c r="J200" s="151">
        <v>3.2611701353265903E-2</v>
      </c>
      <c r="K200" s="149">
        <f t="shared" ref="K200:K263" si="15">C200/1.03/(I200+J200)</f>
        <v>134.1781322666842</v>
      </c>
      <c r="L200" s="186" t="s">
        <v>77</v>
      </c>
      <c r="M200" s="7"/>
      <c r="N200" s="7"/>
      <c r="O200" s="7"/>
      <c r="P200" s="7"/>
      <c r="Q200" s="7"/>
      <c r="R200" s="95"/>
    </row>
    <row r="201" spans="1:18" ht="14.4" customHeight="1">
      <c r="A201" s="51"/>
      <c r="B201" s="153">
        <v>43132</v>
      </c>
      <c r="C201" s="154">
        <v>9.7789308365224592</v>
      </c>
      <c r="D201" s="155">
        <v>0.13893083652246399</v>
      </c>
      <c r="E201" s="156">
        <f t="shared" si="12"/>
        <v>9.6399999999999952</v>
      </c>
      <c r="F201" s="154">
        <f t="shared" si="13"/>
        <v>0.34287976285141863</v>
      </c>
      <c r="G201" s="156">
        <f t="shared" si="14"/>
        <v>0.33800841514726493</v>
      </c>
      <c r="H201" s="157">
        <v>28.52</v>
      </c>
      <c r="I201" s="158">
        <v>3.74633333333333E-2</v>
      </c>
      <c r="J201" s="159">
        <v>3.3042222222222202E-2</v>
      </c>
      <c r="K201" s="157">
        <f t="shared" si="15"/>
        <v>134.65758171061091</v>
      </c>
      <c r="L201" s="179" t="s">
        <v>77</v>
      </c>
      <c r="M201" s="7"/>
      <c r="N201" s="7"/>
      <c r="O201" s="7"/>
      <c r="P201" s="7"/>
      <c r="Q201" s="7"/>
      <c r="R201" s="95"/>
    </row>
    <row r="202" spans="1:18" ht="14.4" customHeight="1">
      <c r="A202" s="51"/>
      <c r="B202" s="153">
        <v>43160</v>
      </c>
      <c r="C202" s="154">
        <v>10.2386866234694</v>
      </c>
      <c r="D202" s="155">
        <v>0.138686623469436</v>
      </c>
      <c r="E202" s="156">
        <f t="shared" si="12"/>
        <v>10.099999999999964</v>
      </c>
      <c r="F202" s="154">
        <f t="shared" si="13"/>
        <v>0.36061871736649059</v>
      </c>
      <c r="G202" s="156">
        <f t="shared" si="14"/>
        <v>0.35573400958016216</v>
      </c>
      <c r="H202" s="157">
        <v>28.391999999999999</v>
      </c>
      <c r="I202" s="158">
        <v>3.9144947998788197E-2</v>
      </c>
      <c r="J202" s="159">
        <v>3.4576382294931901E-2</v>
      </c>
      <c r="K202" s="157">
        <f t="shared" si="15"/>
        <v>134.83848447071585</v>
      </c>
      <c r="L202" s="179" t="s">
        <v>77</v>
      </c>
      <c r="M202" s="7"/>
      <c r="N202" s="7"/>
      <c r="O202" s="7"/>
      <c r="P202" s="7"/>
      <c r="Q202" s="7"/>
      <c r="R202" s="95"/>
    </row>
    <row r="203" spans="1:18" ht="14.4" customHeight="1">
      <c r="A203" s="51"/>
      <c r="B203" s="153">
        <v>43191</v>
      </c>
      <c r="C203" s="154">
        <v>10.1220251910746</v>
      </c>
      <c r="D203" s="155">
        <v>0.14202519107455899</v>
      </c>
      <c r="E203" s="156">
        <f t="shared" si="12"/>
        <v>9.9800000000000413</v>
      </c>
      <c r="F203" s="154">
        <f t="shared" si="13"/>
        <v>0.35745400964348628</v>
      </c>
      <c r="G203" s="156">
        <f t="shared" si="14"/>
        <v>0.35243846452661093</v>
      </c>
      <c r="H203" s="157">
        <v>28.317</v>
      </c>
      <c r="I203" s="158">
        <v>3.8966457204758699E-2</v>
      </c>
      <c r="J203" s="159">
        <v>3.4065762359732403E-2</v>
      </c>
      <c r="K203" s="157">
        <f t="shared" si="15"/>
        <v>134.55991043371591</v>
      </c>
      <c r="L203" s="179" t="s">
        <v>77</v>
      </c>
      <c r="M203" s="7"/>
      <c r="N203" s="7"/>
      <c r="O203" s="7"/>
      <c r="P203" s="7"/>
      <c r="Q203" s="7"/>
      <c r="R203" s="95"/>
    </row>
    <row r="204" spans="1:18" ht="14.4" customHeight="1">
      <c r="A204" s="51"/>
      <c r="B204" s="153">
        <v>43221</v>
      </c>
      <c r="C204" s="154">
        <v>10.372350674408301</v>
      </c>
      <c r="D204" s="155">
        <v>0.142350674408318</v>
      </c>
      <c r="E204" s="156">
        <f t="shared" si="12"/>
        <v>10.229999999999983</v>
      </c>
      <c r="F204" s="154">
        <f t="shared" si="13"/>
        <v>0.33938716950488518</v>
      </c>
      <c r="G204" s="156">
        <f t="shared" si="14"/>
        <v>0.33472940252601213</v>
      </c>
      <c r="H204" s="157">
        <v>30.562000000000001</v>
      </c>
      <c r="I204" s="158">
        <v>3.8774207974498598E-2</v>
      </c>
      <c r="J204" s="159">
        <v>3.4436135383380098E-2</v>
      </c>
      <c r="K204" s="157">
        <f t="shared" si="15"/>
        <v>137.55219428469204</v>
      </c>
      <c r="L204" s="179" t="s">
        <v>77</v>
      </c>
      <c r="M204" s="7"/>
      <c r="N204" s="7"/>
      <c r="O204" s="7"/>
      <c r="P204" s="7"/>
      <c r="Q204" s="7"/>
      <c r="R204" s="95"/>
    </row>
    <row r="205" spans="1:18" ht="14.4" customHeight="1">
      <c r="A205" s="51"/>
      <c r="B205" s="153">
        <v>43252</v>
      </c>
      <c r="C205" s="154">
        <v>10.481409870916201</v>
      </c>
      <c r="D205" s="155">
        <v>0.14140987091624499</v>
      </c>
      <c r="E205" s="156">
        <f t="shared" si="12"/>
        <v>10.339999999999955</v>
      </c>
      <c r="F205" s="154">
        <f t="shared" si="13"/>
        <v>0.33416469651585157</v>
      </c>
      <c r="G205" s="156">
        <f t="shared" si="14"/>
        <v>0.32965631575591264</v>
      </c>
      <c r="H205" s="157">
        <v>31.366</v>
      </c>
      <c r="I205" s="158">
        <v>3.88741506115792E-2</v>
      </c>
      <c r="J205" s="159">
        <v>3.4687642988770001E-2</v>
      </c>
      <c r="K205" s="157">
        <f t="shared" si="15"/>
        <v>138.33439330685172</v>
      </c>
      <c r="L205" s="179" t="s">
        <v>77</v>
      </c>
      <c r="M205" s="7"/>
      <c r="N205" s="7"/>
      <c r="O205" s="7"/>
      <c r="P205" s="7"/>
      <c r="Q205" s="7"/>
      <c r="R205" s="95"/>
    </row>
    <row r="206" spans="1:18" ht="14.4" customHeight="1">
      <c r="A206" s="51"/>
      <c r="B206" s="153">
        <v>43282</v>
      </c>
      <c r="C206" s="154">
        <v>10.360291286642299</v>
      </c>
      <c r="D206" s="155">
        <v>0.14029128664232501</v>
      </c>
      <c r="E206" s="156">
        <f t="shared" si="12"/>
        <v>10.219999999999974</v>
      </c>
      <c r="F206" s="154">
        <f t="shared" si="13"/>
        <v>0.33259362075898236</v>
      </c>
      <c r="G206" s="156">
        <f t="shared" si="14"/>
        <v>0.32808988764044861</v>
      </c>
      <c r="H206" s="157">
        <v>31.15</v>
      </c>
      <c r="I206" s="158">
        <v>3.8881202960293501E-2</v>
      </c>
      <c r="J206" s="159">
        <v>3.41138207428648E-2</v>
      </c>
      <c r="K206" s="157">
        <f t="shared" si="15"/>
        <v>137.79754727738512</v>
      </c>
      <c r="L206" s="179" t="s">
        <v>77</v>
      </c>
      <c r="M206" s="7"/>
      <c r="N206" s="7"/>
      <c r="O206" s="7"/>
      <c r="P206" s="7"/>
      <c r="Q206" s="7"/>
      <c r="R206" s="95"/>
    </row>
    <row r="207" spans="1:18" ht="14.4" customHeight="1">
      <c r="A207" s="51"/>
      <c r="B207" s="153">
        <v>43313</v>
      </c>
      <c r="C207" s="154">
        <v>9.98</v>
      </c>
      <c r="D207" s="155">
        <v>0</v>
      </c>
      <c r="E207" s="156">
        <f t="shared" si="12"/>
        <v>9.98</v>
      </c>
      <c r="F207" s="154">
        <f t="shared" si="13"/>
        <v>0.31858520079167468</v>
      </c>
      <c r="G207" s="156">
        <f t="shared" si="14"/>
        <v>0.31858520079167468</v>
      </c>
      <c r="H207" s="157">
        <v>31.326000000000001</v>
      </c>
      <c r="I207" s="158">
        <v>3.8053759316991898E-2</v>
      </c>
      <c r="J207" s="159">
        <v>3.4231236364171698E-2</v>
      </c>
      <c r="K207" s="157">
        <f t="shared" si="15"/>
        <v>134.04331420433923</v>
      </c>
      <c r="L207" s="173"/>
      <c r="M207" s="7"/>
      <c r="N207" s="7"/>
      <c r="O207" s="7"/>
      <c r="P207" s="7"/>
      <c r="Q207" s="7"/>
      <c r="R207" s="95"/>
    </row>
    <row r="208" spans="1:18" ht="14.4" customHeight="1">
      <c r="A208" s="51"/>
      <c r="B208" s="153">
        <v>43344</v>
      </c>
      <c r="C208" s="154">
        <v>9.83</v>
      </c>
      <c r="D208" s="155">
        <v>0</v>
      </c>
      <c r="E208" s="156">
        <f t="shared" si="12"/>
        <v>9.83</v>
      </c>
      <c r="F208" s="154">
        <f t="shared" si="13"/>
        <v>0.29909328789630624</v>
      </c>
      <c r="G208" s="156">
        <f t="shared" si="14"/>
        <v>0.29909328789630624</v>
      </c>
      <c r="H208" s="157">
        <v>32.866</v>
      </c>
      <c r="I208" s="158">
        <v>3.7414030875804902E-2</v>
      </c>
      <c r="J208" s="159">
        <v>3.3860148714465098E-2</v>
      </c>
      <c r="K208" s="157">
        <f t="shared" si="15"/>
        <v>133.90107575073662</v>
      </c>
      <c r="L208" s="173"/>
      <c r="M208" s="7"/>
      <c r="N208" s="7"/>
      <c r="O208" s="7"/>
      <c r="P208" s="7"/>
      <c r="Q208" s="7"/>
      <c r="R208" s="95"/>
    </row>
    <row r="209" spans="1:18" ht="14.4" customHeight="1">
      <c r="A209" s="51"/>
      <c r="B209" s="153">
        <v>43374</v>
      </c>
      <c r="C209" s="154">
        <v>9.75</v>
      </c>
      <c r="D209" s="155">
        <v>0</v>
      </c>
      <c r="E209" s="156">
        <f t="shared" si="12"/>
        <v>9.75</v>
      </c>
      <c r="F209" s="154">
        <f t="shared" si="13"/>
        <v>0.29647874475460678</v>
      </c>
      <c r="G209" s="156">
        <f t="shared" si="14"/>
        <v>0.29647874475460678</v>
      </c>
      <c r="H209" s="157">
        <v>32.886000000000003</v>
      </c>
      <c r="I209" s="158">
        <v>3.7168883423880798E-2</v>
      </c>
      <c r="J209" s="159">
        <v>3.3436937072315702E-2</v>
      </c>
      <c r="K209" s="157">
        <f t="shared" si="15"/>
        <v>134.06854209683263</v>
      </c>
      <c r="L209" s="173"/>
      <c r="M209" s="7"/>
      <c r="N209" s="7"/>
      <c r="O209" s="7"/>
      <c r="P209" s="7"/>
      <c r="Q209" s="7"/>
      <c r="R209" s="95"/>
    </row>
    <row r="210" spans="1:18" ht="14.4" customHeight="1">
      <c r="A210" s="51"/>
      <c r="B210" s="153">
        <v>43405</v>
      </c>
      <c r="C210" s="154">
        <v>9.43</v>
      </c>
      <c r="D210" s="155">
        <v>0</v>
      </c>
      <c r="E210" s="156">
        <f t="shared" si="12"/>
        <v>9.43</v>
      </c>
      <c r="F210" s="154">
        <f t="shared" si="13"/>
        <v>0.28982389279896731</v>
      </c>
      <c r="G210" s="156">
        <f t="shared" si="14"/>
        <v>0.28982389279896731</v>
      </c>
      <c r="H210" s="157">
        <v>32.536999999999999</v>
      </c>
      <c r="I210" s="158">
        <v>3.6710262631145997E-2</v>
      </c>
      <c r="J210" s="159">
        <v>3.3184630792155001E-2</v>
      </c>
      <c r="K210" s="157">
        <f t="shared" si="15"/>
        <v>130.98724895935115</v>
      </c>
      <c r="L210" s="173"/>
      <c r="M210" s="7"/>
      <c r="N210" s="7"/>
      <c r="O210" s="7"/>
      <c r="P210" s="7"/>
      <c r="Q210" s="7"/>
      <c r="R210" s="95"/>
    </row>
    <row r="211" spans="1:18" ht="14.4" customHeight="1">
      <c r="A211" s="51"/>
      <c r="B211" s="161">
        <v>43435</v>
      </c>
      <c r="C211" s="176">
        <v>9.4600000000000009</v>
      </c>
      <c r="D211" s="177">
        <v>0</v>
      </c>
      <c r="E211" s="178">
        <f t="shared" si="12"/>
        <v>9.4600000000000009</v>
      </c>
      <c r="F211" s="162">
        <f t="shared" si="13"/>
        <v>0.29366114111876829</v>
      </c>
      <c r="G211" s="164">
        <f t="shared" si="14"/>
        <v>0.29366114111876829</v>
      </c>
      <c r="H211" s="86">
        <v>32.213999999999999</v>
      </c>
      <c r="I211" s="166">
        <v>3.7182470098506899E-2</v>
      </c>
      <c r="J211" s="167">
        <v>3.3068492458646903E-2</v>
      </c>
      <c r="K211" s="86">
        <f t="shared" si="15"/>
        <v>130.73793845807177</v>
      </c>
      <c r="L211" s="174"/>
      <c r="M211" s="7"/>
      <c r="N211" s="7"/>
      <c r="O211" s="7"/>
      <c r="P211" s="7"/>
      <c r="Q211" s="7"/>
      <c r="R211" s="95"/>
    </row>
    <row r="212" spans="1:18" ht="14.4" customHeight="1">
      <c r="A212" s="51"/>
      <c r="B212" s="145">
        <v>43466</v>
      </c>
      <c r="C212" s="187">
        <v>9.43</v>
      </c>
      <c r="D212" s="188">
        <v>0</v>
      </c>
      <c r="E212" s="189">
        <f t="shared" si="12"/>
        <v>9.43</v>
      </c>
      <c r="F212" s="146">
        <f t="shared" si="13"/>
        <v>0.28928155101539971</v>
      </c>
      <c r="G212" s="148">
        <f t="shared" si="14"/>
        <v>0.28928155101539971</v>
      </c>
      <c r="H212" s="190">
        <v>32.597999999999999</v>
      </c>
      <c r="I212" s="150">
        <v>3.7683616746510502E-2</v>
      </c>
      <c r="J212" s="151">
        <v>3.2965437326692E-2</v>
      </c>
      <c r="K212" s="190">
        <f t="shared" si="15"/>
        <v>129.58899345402423</v>
      </c>
      <c r="L212" s="175"/>
      <c r="M212" s="7"/>
      <c r="N212" s="7"/>
      <c r="O212" s="7"/>
      <c r="P212" s="7"/>
      <c r="Q212" s="7"/>
      <c r="R212" s="95"/>
    </row>
    <row r="213" spans="1:18" ht="14.4" customHeight="1">
      <c r="A213" s="51"/>
      <c r="B213" s="153">
        <v>43497</v>
      </c>
      <c r="C213" s="154">
        <v>9.67</v>
      </c>
      <c r="D213" s="155">
        <v>0.08</v>
      </c>
      <c r="E213" s="156">
        <f t="shared" si="12"/>
        <v>9.59</v>
      </c>
      <c r="F213" s="154">
        <f t="shared" si="13"/>
        <v>0.29653480527445569</v>
      </c>
      <c r="G213" s="156">
        <f t="shared" si="14"/>
        <v>0.29408157007053054</v>
      </c>
      <c r="H213" s="85">
        <v>32.61</v>
      </c>
      <c r="I213" s="158">
        <v>3.8352598519981802E-2</v>
      </c>
      <c r="J213" s="159">
        <v>3.3694719982931998E-2</v>
      </c>
      <c r="K213" s="157">
        <f t="shared" si="15"/>
        <v>130.30810458523055</v>
      </c>
      <c r="L213" s="179" t="s">
        <v>78</v>
      </c>
      <c r="M213" s="7"/>
      <c r="N213" s="7"/>
      <c r="O213" s="7"/>
      <c r="P213" s="7"/>
      <c r="Q213" s="7"/>
      <c r="R213" s="95"/>
    </row>
    <row r="214" spans="1:18" ht="14.4" customHeight="1">
      <c r="A214" s="51"/>
      <c r="B214" s="153">
        <v>43525</v>
      </c>
      <c r="C214" s="154">
        <v>10.1</v>
      </c>
      <c r="D214" s="155">
        <v>0.1</v>
      </c>
      <c r="E214" s="156">
        <f t="shared" si="12"/>
        <v>10</v>
      </c>
      <c r="F214" s="154">
        <f t="shared" si="13"/>
        <v>0.30318494281511721</v>
      </c>
      <c r="G214" s="156">
        <f t="shared" si="14"/>
        <v>0.30018311169813583</v>
      </c>
      <c r="H214" s="85">
        <v>33.313000000000002</v>
      </c>
      <c r="I214" s="158">
        <v>3.9029561524066697E-2</v>
      </c>
      <c r="J214" s="159">
        <v>3.4760915937600598E-2</v>
      </c>
      <c r="K214" s="157">
        <f t="shared" si="15"/>
        <v>132.88740742750147</v>
      </c>
      <c r="L214" s="179" t="s">
        <v>79</v>
      </c>
      <c r="M214" s="7"/>
      <c r="N214" s="7"/>
      <c r="O214" s="7"/>
      <c r="P214" s="7"/>
      <c r="Q214" s="7"/>
      <c r="R214" s="95"/>
    </row>
    <row r="215" spans="1:18" ht="14.4" customHeight="1">
      <c r="A215" s="51"/>
      <c r="B215" s="153">
        <v>43556</v>
      </c>
      <c r="C215" s="181">
        <v>10.53</v>
      </c>
      <c r="D215" s="182">
        <v>0.12</v>
      </c>
      <c r="E215" s="183">
        <f t="shared" si="12"/>
        <v>10.41</v>
      </c>
      <c r="F215" s="154">
        <f t="shared" si="13"/>
        <v>0.30847199437543937</v>
      </c>
      <c r="G215" s="156">
        <f t="shared" si="14"/>
        <v>0.30495664401218653</v>
      </c>
      <c r="H215" s="85">
        <v>34.136000000000003</v>
      </c>
      <c r="I215" s="158">
        <v>3.9086805214859202E-2</v>
      </c>
      <c r="J215" s="159">
        <v>3.4320327672412498E-2</v>
      </c>
      <c r="K215" s="85">
        <f t="shared" si="15"/>
        <v>139.26849570018334</v>
      </c>
      <c r="L215" s="179" t="s">
        <v>80</v>
      </c>
      <c r="M215" s="7"/>
      <c r="N215" s="7"/>
      <c r="O215" s="7"/>
      <c r="P215" s="7"/>
      <c r="Q215" s="7"/>
      <c r="R215" s="95"/>
    </row>
    <row r="216" spans="1:18" ht="14.4" customHeight="1">
      <c r="A216" s="51"/>
      <c r="B216" s="153">
        <v>43586</v>
      </c>
      <c r="C216" s="181">
        <v>10.62</v>
      </c>
      <c r="D216" s="182">
        <v>0.11</v>
      </c>
      <c r="E216" s="183">
        <f t="shared" si="12"/>
        <v>10.51</v>
      </c>
      <c r="F216" s="154">
        <f t="shared" si="13"/>
        <v>0.30202201177373944</v>
      </c>
      <c r="G216" s="156">
        <f t="shared" si="14"/>
        <v>0.29889372351619603</v>
      </c>
      <c r="H216" s="85">
        <v>35.162999999999997</v>
      </c>
      <c r="I216" s="158">
        <v>3.9751940966324499E-2</v>
      </c>
      <c r="J216" s="159">
        <v>3.4634386706094103E-2</v>
      </c>
      <c r="K216" s="85">
        <f t="shared" si="15"/>
        <v>138.60987542033939</v>
      </c>
      <c r="L216" s="179" t="s">
        <v>81</v>
      </c>
      <c r="M216" s="7"/>
      <c r="N216" s="7"/>
      <c r="O216" s="7"/>
      <c r="P216" s="7"/>
      <c r="Q216" s="7"/>
      <c r="R216" s="95"/>
    </row>
    <row r="217" spans="1:18" ht="14.4" customHeight="1">
      <c r="A217" s="51"/>
      <c r="B217" s="153">
        <v>43617</v>
      </c>
      <c r="C217" s="181">
        <v>10.9</v>
      </c>
      <c r="D217" s="182">
        <v>0.11</v>
      </c>
      <c r="E217" s="183">
        <f t="shared" si="12"/>
        <v>10.790000000000001</v>
      </c>
      <c r="F217" s="154">
        <f t="shared" si="13"/>
        <v>0.30921985815602837</v>
      </c>
      <c r="G217" s="156">
        <f t="shared" si="14"/>
        <v>0.30609929078014186</v>
      </c>
      <c r="H217" s="157">
        <v>35.25</v>
      </c>
      <c r="I217" s="158">
        <v>3.8237602048204901E-2</v>
      </c>
      <c r="J217" s="159">
        <v>3.4341050045387497E-2</v>
      </c>
      <c r="K217" s="85">
        <f t="shared" si="15"/>
        <v>145.8076716304702</v>
      </c>
      <c r="L217" s="179" t="s">
        <v>81</v>
      </c>
      <c r="M217" s="7"/>
      <c r="N217" s="7"/>
      <c r="O217" s="7"/>
      <c r="P217" s="7"/>
      <c r="Q217" s="7"/>
      <c r="R217" s="95"/>
    </row>
    <row r="218" spans="1:18" ht="14.4" customHeight="1">
      <c r="A218" s="51"/>
      <c r="B218" s="153">
        <v>43647</v>
      </c>
      <c r="C218" s="181">
        <v>10.77</v>
      </c>
      <c r="D218" s="182">
        <v>0.09</v>
      </c>
      <c r="E218" s="183">
        <f t="shared" si="12"/>
        <v>10.68</v>
      </c>
      <c r="F218" s="154">
        <f t="shared" si="13"/>
        <v>0.30927835051546393</v>
      </c>
      <c r="G218" s="156">
        <f t="shared" si="14"/>
        <v>0.30669385176463831</v>
      </c>
      <c r="H218" s="157">
        <v>34.823</v>
      </c>
      <c r="I218" s="158">
        <v>3.81506840866234E-2</v>
      </c>
      <c r="J218" s="159">
        <v>3.43596193861435E-2</v>
      </c>
      <c r="K218" s="85">
        <f t="shared" si="15"/>
        <v>144.20448100232792</v>
      </c>
      <c r="L218" s="179" t="s">
        <v>82</v>
      </c>
      <c r="M218" s="7"/>
      <c r="N218" s="7"/>
      <c r="O218" s="7"/>
      <c r="P218" s="7"/>
      <c r="Q218" s="7"/>
      <c r="R218" s="95"/>
    </row>
    <row r="219" spans="1:18" ht="14.4" customHeight="1">
      <c r="A219" s="51"/>
      <c r="B219" s="153">
        <v>43678</v>
      </c>
      <c r="C219" s="181">
        <v>11.066000000000001</v>
      </c>
      <c r="D219" s="182">
        <v>0.126</v>
      </c>
      <c r="E219" s="183">
        <f t="shared" si="12"/>
        <v>10.940000000000001</v>
      </c>
      <c r="F219" s="154">
        <f t="shared" si="13"/>
        <v>0.30778216610112924</v>
      </c>
      <c r="G219" s="156">
        <f t="shared" si="14"/>
        <v>0.30427768815708967</v>
      </c>
      <c r="H219" s="157">
        <v>35.954000000000001</v>
      </c>
      <c r="I219" s="158">
        <v>3.7679358512912098E-2</v>
      </c>
      <c r="J219" s="159">
        <v>3.4281371098329502E-2</v>
      </c>
      <c r="K219" s="85">
        <f t="shared" si="15"/>
        <v>149.29933838122156</v>
      </c>
      <c r="L219" s="179" t="s">
        <v>83</v>
      </c>
      <c r="M219" s="7"/>
      <c r="N219" s="7"/>
      <c r="O219" s="7"/>
      <c r="P219" s="7"/>
      <c r="Q219" s="7"/>
      <c r="R219" s="95"/>
    </row>
    <row r="220" spans="1:18" ht="14.4" customHeight="1">
      <c r="A220" s="51"/>
      <c r="B220" s="153">
        <v>43709</v>
      </c>
      <c r="C220" s="181">
        <v>11.228</v>
      </c>
      <c r="D220" s="182">
        <v>0.128</v>
      </c>
      <c r="E220" s="183">
        <f t="shared" si="12"/>
        <v>11.1</v>
      </c>
      <c r="F220" s="154">
        <f t="shared" si="13"/>
        <v>0.30601509907061675</v>
      </c>
      <c r="G220" s="156">
        <f t="shared" si="14"/>
        <v>0.30252650513749962</v>
      </c>
      <c r="H220" s="157">
        <v>36.691000000000003</v>
      </c>
      <c r="I220" s="158">
        <v>3.7240046314753403E-2</v>
      </c>
      <c r="J220" s="159">
        <v>3.4896277305989598E-2</v>
      </c>
      <c r="K220" s="85">
        <f t="shared" si="15"/>
        <v>151.11625221016675</v>
      </c>
      <c r="L220" s="179" t="s">
        <v>84</v>
      </c>
      <c r="M220" s="7"/>
      <c r="N220" s="7"/>
      <c r="O220" s="7"/>
      <c r="P220" s="7"/>
      <c r="Q220" s="7"/>
      <c r="R220" s="95"/>
    </row>
    <row r="221" spans="1:18" ht="14.4" customHeight="1">
      <c r="A221" s="51"/>
      <c r="B221" s="153">
        <v>43739</v>
      </c>
      <c r="C221" s="181">
        <v>11.34</v>
      </c>
      <c r="D221" s="182">
        <v>0.13</v>
      </c>
      <c r="E221" s="183">
        <f t="shared" si="12"/>
        <v>11.209999999999999</v>
      </c>
      <c r="F221" s="154">
        <f t="shared" si="13"/>
        <v>0.30401329723063725</v>
      </c>
      <c r="G221" s="156">
        <f t="shared" si="14"/>
        <v>0.3005281359749068</v>
      </c>
      <c r="H221" s="157">
        <v>37.301000000000002</v>
      </c>
      <c r="I221" s="158">
        <v>3.7422572141484499E-2</v>
      </c>
      <c r="J221" s="159">
        <v>3.4526407736010199E-2</v>
      </c>
      <c r="K221" s="85">
        <f t="shared" si="15"/>
        <v>153.02105403870866</v>
      </c>
      <c r="L221" s="179" t="s">
        <v>85</v>
      </c>
      <c r="M221" s="7"/>
      <c r="N221" s="7"/>
      <c r="O221" s="7"/>
      <c r="P221" s="7"/>
      <c r="Q221" s="7"/>
      <c r="R221" s="95"/>
    </row>
    <row r="222" spans="1:18" ht="14.4" customHeight="1">
      <c r="A222" s="51"/>
      <c r="B222" s="153">
        <v>43770</v>
      </c>
      <c r="C222" s="181">
        <v>11.271000000000001</v>
      </c>
      <c r="D222" s="182">
        <v>0.13100000000000001</v>
      </c>
      <c r="E222" s="183">
        <f t="shared" si="12"/>
        <v>11.14</v>
      </c>
      <c r="F222" s="154">
        <f t="shared" si="13"/>
        <v>0.29945003852387153</v>
      </c>
      <c r="G222" s="156">
        <f t="shared" si="14"/>
        <v>0.29596960599378302</v>
      </c>
      <c r="H222" s="157">
        <v>37.639000000000003</v>
      </c>
      <c r="I222" s="158">
        <v>3.65926430628895E-2</v>
      </c>
      <c r="J222" s="159">
        <v>3.3417468015936098E-2</v>
      </c>
      <c r="K222" s="85">
        <f t="shared" si="15"/>
        <v>156.30197235769768</v>
      </c>
      <c r="L222" s="179" t="s">
        <v>86</v>
      </c>
      <c r="M222" s="7"/>
      <c r="N222" s="7"/>
      <c r="O222" s="7"/>
      <c r="P222" s="7"/>
      <c r="Q222" s="7"/>
      <c r="R222" s="95"/>
    </row>
    <row r="223" spans="1:18" ht="14.4" customHeight="1">
      <c r="A223" s="51"/>
      <c r="B223" s="161">
        <v>43800</v>
      </c>
      <c r="C223" s="176">
        <v>11.702</v>
      </c>
      <c r="D223" s="177">
        <f>0.291+0.131</f>
        <v>0.42199999999999999</v>
      </c>
      <c r="E223" s="178">
        <f t="shared" si="12"/>
        <v>11.28</v>
      </c>
      <c r="F223" s="162">
        <f t="shared" si="13"/>
        <v>0.31134761207928696</v>
      </c>
      <c r="G223" s="164">
        <f t="shared" si="14"/>
        <v>0.30011972861513897</v>
      </c>
      <c r="H223" s="86">
        <v>37.585000000000001</v>
      </c>
      <c r="I223" s="166">
        <v>3.7538722601674103E-2</v>
      </c>
      <c r="J223" s="167">
        <v>3.26582548539723E-2</v>
      </c>
      <c r="K223" s="86">
        <f t="shared" si="15"/>
        <v>161.84692646805459</v>
      </c>
      <c r="L223" s="185" t="s">
        <v>87</v>
      </c>
      <c r="M223" s="7"/>
      <c r="N223" s="7"/>
      <c r="O223" s="7"/>
      <c r="P223" s="7"/>
      <c r="Q223" s="7"/>
      <c r="R223" s="95"/>
    </row>
    <row r="224" spans="1:18" ht="14.4" customHeight="1">
      <c r="A224" s="51"/>
      <c r="B224" s="145">
        <v>43831</v>
      </c>
      <c r="C224" s="187">
        <f t="shared" ref="C224:C244" si="16">E224+D224</f>
        <v>12.052000000000001</v>
      </c>
      <c r="D224" s="188">
        <f>0.287+0.125</f>
        <v>0.41199999999999998</v>
      </c>
      <c r="E224" s="189">
        <v>11.64</v>
      </c>
      <c r="F224" s="146">
        <f t="shared" si="13"/>
        <v>0.3206001276867419</v>
      </c>
      <c r="G224" s="148">
        <f t="shared" si="14"/>
        <v>0.30964034901042775</v>
      </c>
      <c r="H224" s="149">
        <v>37.591999999999999</v>
      </c>
      <c r="I224" s="150">
        <v>3.7397495969651799E-2</v>
      </c>
      <c r="J224" s="151">
        <v>3.32337826354775E-2</v>
      </c>
      <c r="K224" s="190">
        <f t="shared" si="15"/>
        <v>165.66273618238981</v>
      </c>
      <c r="L224" s="186" t="s">
        <v>88</v>
      </c>
      <c r="M224" s="7"/>
      <c r="N224" s="7"/>
      <c r="O224" s="7"/>
      <c r="P224" s="7"/>
      <c r="Q224" s="7"/>
      <c r="R224" s="95"/>
    </row>
    <row r="225" spans="1:18" ht="14.4" customHeight="1">
      <c r="A225" s="51"/>
      <c r="B225" s="153">
        <v>43862</v>
      </c>
      <c r="C225" s="181">
        <f t="shared" si="16"/>
        <v>12.327</v>
      </c>
      <c r="D225" s="182">
        <f>0.285+0.122</f>
        <v>0.40699999999999997</v>
      </c>
      <c r="E225" s="183">
        <v>11.92</v>
      </c>
      <c r="F225" s="154">
        <f t="shared" si="13"/>
        <v>0.32401955630322787</v>
      </c>
      <c r="G225" s="156">
        <f t="shared" si="14"/>
        <v>0.31332141730627694</v>
      </c>
      <c r="H225" s="157">
        <v>38.043999999999997</v>
      </c>
      <c r="I225" s="158">
        <v>3.8007028316949097E-2</v>
      </c>
      <c r="J225" s="159">
        <v>3.3975255626101097E-2</v>
      </c>
      <c r="K225" s="85">
        <f t="shared" si="15"/>
        <v>166.26259281404802</v>
      </c>
      <c r="L225" s="179" t="s">
        <v>89</v>
      </c>
      <c r="M225" s="7"/>
      <c r="N225" s="7"/>
      <c r="O225" s="7"/>
      <c r="P225" s="7"/>
      <c r="Q225" s="7"/>
      <c r="R225" s="95"/>
    </row>
    <row r="226" spans="1:18" ht="14.4" customHeight="1">
      <c r="A226" s="51"/>
      <c r="B226" s="153">
        <v>43891</v>
      </c>
      <c r="C226" s="181">
        <f t="shared" si="16"/>
        <v>12.225999999999999</v>
      </c>
      <c r="D226" s="182">
        <v>0.126</v>
      </c>
      <c r="E226" s="183">
        <v>12.1</v>
      </c>
      <c r="F226" s="154">
        <f t="shared" si="13"/>
        <v>0.28207553699559323</v>
      </c>
      <c r="G226" s="156">
        <f t="shared" si="14"/>
        <v>0.27916849318229009</v>
      </c>
      <c r="H226" s="157">
        <v>43.343000000000004</v>
      </c>
      <c r="I226" s="158">
        <v>3.9239678370474901E-2</v>
      </c>
      <c r="J226" s="159">
        <v>3.4167390312466003E-2</v>
      </c>
      <c r="K226" s="85">
        <f t="shared" si="15"/>
        <v>161.6997262741784</v>
      </c>
      <c r="L226" s="179" t="s">
        <v>83</v>
      </c>
      <c r="M226" s="7"/>
      <c r="N226" s="7"/>
      <c r="O226" s="7"/>
      <c r="P226" s="7"/>
      <c r="Q226" s="7"/>
      <c r="R226" s="95"/>
    </row>
    <row r="227" spans="1:18" ht="14.4" customHeight="1">
      <c r="A227" s="51"/>
      <c r="B227" s="153">
        <v>43922</v>
      </c>
      <c r="C227" s="181">
        <f t="shared" si="16"/>
        <v>12.437000000000001</v>
      </c>
      <c r="D227" s="182">
        <v>0.127</v>
      </c>
      <c r="E227" s="183">
        <v>12.31</v>
      </c>
      <c r="F227" s="154">
        <f t="shared" si="13"/>
        <v>0.28662625890161558</v>
      </c>
      <c r="G227" s="156">
        <f t="shared" si="14"/>
        <v>0.2836993846650227</v>
      </c>
      <c r="H227" s="157">
        <v>43.390999999999998</v>
      </c>
      <c r="I227" s="158">
        <v>3.96176992148594E-2</v>
      </c>
      <c r="J227" s="159">
        <v>3.4629300273036297E-2</v>
      </c>
      <c r="K227" s="85">
        <f t="shared" si="15"/>
        <v>162.62956570415906</v>
      </c>
      <c r="L227" s="179" t="s">
        <v>90</v>
      </c>
      <c r="M227" s="7"/>
      <c r="N227" s="7"/>
      <c r="O227" s="7"/>
      <c r="P227" s="7"/>
      <c r="Q227" s="7"/>
      <c r="R227" s="95"/>
    </row>
    <row r="228" spans="1:18" ht="14.4" customHeight="1">
      <c r="A228" s="51"/>
      <c r="B228" s="153">
        <v>43952</v>
      </c>
      <c r="C228" s="181">
        <f t="shared" si="16"/>
        <v>12.648999999999999</v>
      </c>
      <c r="D228" s="182">
        <v>0.129</v>
      </c>
      <c r="E228" s="183">
        <v>12.52</v>
      </c>
      <c r="F228" s="154">
        <f t="shared" si="13"/>
        <v>0.29125028781947959</v>
      </c>
      <c r="G228" s="156">
        <f t="shared" si="14"/>
        <v>0.28827999078977662</v>
      </c>
      <c r="H228" s="157">
        <v>43.43</v>
      </c>
      <c r="I228" s="158">
        <v>3.9949612633145302E-2</v>
      </c>
      <c r="J228" s="159">
        <v>3.5394208681701601E-2</v>
      </c>
      <c r="K228" s="85">
        <f t="shared" si="15"/>
        <v>162.99389000929116</v>
      </c>
      <c r="L228" s="179" t="s">
        <v>91</v>
      </c>
      <c r="M228" s="7"/>
      <c r="N228" s="7"/>
      <c r="O228" s="7"/>
      <c r="P228" s="7"/>
      <c r="Q228" s="7"/>
      <c r="R228" s="95"/>
    </row>
    <row r="229" spans="1:18" ht="14.4" customHeight="1">
      <c r="A229" s="51"/>
      <c r="B229" s="153">
        <v>43983</v>
      </c>
      <c r="C229" s="181">
        <f t="shared" si="16"/>
        <v>12.28</v>
      </c>
      <c r="D229" s="182">
        <v>0</v>
      </c>
      <c r="E229" s="183">
        <v>12.28</v>
      </c>
      <c r="F229" s="154">
        <f t="shared" si="13"/>
        <v>0.28842540398346483</v>
      </c>
      <c r="G229" s="156">
        <f t="shared" si="14"/>
        <v>0.28842540398346483</v>
      </c>
      <c r="H229" s="157">
        <v>42.576000000000001</v>
      </c>
      <c r="I229" s="158">
        <v>3.8807068701470597E-2</v>
      </c>
      <c r="J229" s="159">
        <v>3.47430631026691E-2</v>
      </c>
      <c r="K229" s="85">
        <f t="shared" si="15"/>
        <v>162.09801131065194</v>
      </c>
      <c r="L229" s="173"/>
      <c r="M229" s="7"/>
      <c r="N229" s="7"/>
      <c r="O229" s="7"/>
      <c r="P229" s="7"/>
      <c r="Q229" s="7"/>
      <c r="R229" s="95"/>
    </row>
    <row r="230" spans="1:18" ht="14.4" customHeight="1">
      <c r="A230" s="51"/>
      <c r="B230" s="153">
        <v>44013</v>
      </c>
      <c r="C230" s="181">
        <f t="shared" si="16"/>
        <v>12.32</v>
      </c>
      <c r="D230" s="182">
        <v>0</v>
      </c>
      <c r="E230" s="183">
        <v>12.32</v>
      </c>
      <c r="F230" s="154">
        <f t="shared" si="13"/>
        <v>0.28936490041337842</v>
      </c>
      <c r="G230" s="156">
        <f t="shared" si="14"/>
        <v>0.28936490041337842</v>
      </c>
      <c r="H230" s="157">
        <v>42.576000000000001</v>
      </c>
      <c r="I230" s="158">
        <v>3.8046104249469803E-2</v>
      </c>
      <c r="J230" s="159">
        <v>3.5099079330957503E-2</v>
      </c>
      <c r="K230" s="85">
        <f t="shared" si="15"/>
        <v>163.52635215402398</v>
      </c>
      <c r="L230" s="173"/>
      <c r="M230" s="7"/>
      <c r="N230" s="7"/>
      <c r="O230" s="7"/>
      <c r="P230" s="7"/>
      <c r="Q230" s="7"/>
      <c r="R230" s="95"/>
    </row>
    <row r="231" spans="1:18" ht="14.4" customHeight="1">
      <c r="A231" s="51"/>
      <c r="B231" s="153">
        <v>44044</v>
      </c>
      <c r="C231" s="181">
        <f t="shared" si="16"/>
        <v>12.38281762566938</v>
      </c>
      <c r="D231" s="182">
        <v>0.202817625669381</v>
      </c>
      <c r="E231" s="183">
        <v>12.18</v>
      </c>
      <c r="F231" s="154">
        <f t="shared" si="13"/>
        <v>0.29022002075771391</v>
      </c>
      <c r="G231" s="156">
        <f t="shared" si="14"/>
        <v>0.28546651979281412</v>
      </c>
      <c r="H231" s="85">
        <v>42.667000000000002</v>
      </c>
      <c r="I231" s="158">
        <v>3.7302643204279798E-2</v>
      </c>
      <c r="J231" s="159">
        <v>3.5201811298529097E-2</v>
      </c>
      <c r="K231" s="85">
        <f t="shared" si="15"/>
        <v>165.81261271560516</v>
      </c>
      <c r="L231" s="173"/>
      <c r="M231" s="7"/>
      <c r="N231" s="7"/>
      <c r="O231" s="7"/>
      <c r="P231" s="7"/>
      <c r="Q231" s="7"/>
      <c r="R231" s="95"/>
    </row>
    <row r="232" spans="1:18" ht="14.4" customHeight="1">
      <c r="A232" s="51"/>
      <c r="B232" s="153">
        <v>44075</v>
      </c>
      <c r="C232" s="181">
        <f t="shared" si="16"/>
        <v>12.87270053164419</v>
      </c>
      <c r="D232" s="182">
        <v>0.20270053164419</v>
      </c>
      <c r="E232" s="183">
        <v>12.67</v>
      </c>
      <c r="F232" s="154">
        <f t="shared" si="13"/>
        <v>0.30295122571001365</v>
      </c>
      <c r="G232" s="156">
        <f t="shared" si="14"/>
        <v>0.29818079122637736</v>
      </c>
      <c r="H232" s="85">
        <v>42.491</v>
      </c>
      <c r="I232" s="158">
        <v>3.7648015627409402E-2</v>
      </c>
      <c r="J232" s="159">
        <v>3.5190480420044398E-2</v>
      </c>
      <c r="K232" s="85">
        <f t="shared" si="15"/>
        <v>171.58189947124194</v>
      </c>
      <c r="L232" s="173"/>
      <c r="M232" s="7"/>
      <c r="N232" s="7"/>
      <c r="O232" s="7"/>
      <c r="P232" s="7"/>
      <c r="Q232" s="7"/>
      <c r="R232" s="95"/>
    </row>
    <row r="233" spans="1:18" ht="14.4" customHeight="1">
      <c r="A233" s="51"/>
      <c r="B233" s="153">
        <v>44105</v>
      </c>
      <c r="C233" s="181">
        <f t="shared" si="16"/>
        <v>12.853559696823819</v>
      </c>
      <c r="D233" s="182">
        <v>0.203559696823818</v>
      </c>
      <c r="E233" s="183">
        <v>12.65</v>
      </c>
      <c r="F233" s="154">
        <f t="shared" si="13"/>
        <v>0.30111180679888067</v>
      </c>
      <c r="G233" s="156">
        <f t="shared" si="14"/>
        <v>0.2963431489680699</v>
      </c>
      <c r="H233" s="85">
        <v>42.686999999999998</v>
      </c>
      <c r="I233" s="158">
        <v>3.7425891396686901E-2</v>
      </c>
      <c r="J233" s="159">
        <v>3.4525237481464799E-2</v>
      </c>
      <c r="K233" s="85">
        <f t="shared" si="15"/>
        <v>173.43972730166539</v>
      </c>
      <c r="L233" s="173"/>
      <c r="M233" s="7"/>
      <c r="N233" s="7"/>
      <c r="O233" s="7"/>
      <c r="P233" s="7"/>
      <c r="Q233" s="7"/>
      <c r="R233" s="95"/>
    </row>
    <row r="234" spans="1:18" ht="14.4" customHeight="1">
      <c r="A234" s="51"/>
      <c r="B234" s="153">
        <v>44136</v>
      </c>
      <c r="C234" s="181">
        <f t="shared" si="16"/>
        <v>12.91408255244855</v>
      </c>
      <c r="D234" s="182">
        <v>0.204082552448549</v>
      </c>
      <c r="E234" s="183">
        <v>12.71</v>
      </c>
      <c r="F234" s="154">
        <f t="shared" si="13"/>
        <v>0.30222519430022349</v>
      </c>
      <c r="G234" s="156">
        <f t="shared" si="14"/>
        <v>0.29744909899368127</v>
      </c>
      <c r="H234" s="85">
        <v>42.73</v>
      </c>
      <c r="I234" s="158">
        <v>3.6661618633352197E-2</v>
      </c>
      <c r="J234" s="159">
        <v>3.3525491942378603E-2</v>
      </c>
      <c r="K234" s="85">
        <f t="shared" si="15"/>
        <v>178.63599345851341</v>
      </c>
      <c r="L234" s="173"/>
      <c r="M234" s="7"/>
      <c r="N234" s="7"/>
      <c r="O234" s="7"/>
      <c r="P234" s="7"/>
      <c r="Q234" s="7"/>
      <c r="R234" s="95"/>
    </row>
    <row r="235" spans="1:18" ht="14.4" customHeight="1">
      <c r="A235" s="51"/>
      <c r="B235" s="161">
        <v>44166</v>
      </c>
      <c r="C235" s="176">
        <f t="shared" si="16"/>
        <v>13.023386609161715</v>
      </c>
      <c r="D235" s="177">
        <v>0.203386609161715</v>
      </c>
      <c r="E235" s="178">
        <v>12.82</v>
      </c>
      <c r="F235" s="162">
        <f t="shared" si="13"/>
        <v>0.30718432420892811</v>
      </c>
      <c r="G235" s="164">
        <f t="shared" si="14"/>
        <v>0.30238701764317388</v>
      </c>
      <c r="H235" s="86">
        <v>42.396000000000001</v>
      </c>
      <c r="I235" s="166">
        <v>3.7487889888289501E-2</v>
      </c>
      <c r="J235" s="167">
        <v>3.33349360757604E-2</v>
      </c>
      <c r="K235" s="86">
        <f t="shared" si="15"/>
        <v>178.53092554520839</v>
      </c>
      <c r="L235" s="174"/>
      <c r="M235" s="7"/>
      <c r="N235" s="7"/>
      <c r="O235" s="18"/>
      <c r="P235" s="7"/>
      <c r="Q235" s="7"/>
      <c r="R235" s="95"/>
    </row>
    <row r="236" spans="1:18" ht="14.4" customHeight="1">
      <c r="A236" s="51"/>
      <c r="B236" s="145">
        <v>44197</v>
      </c>
      <c r="C236" s="187">
        <f t="shared" si="16"/>
        <v>13.53295692504881</v>
      </c>
      <c r="D236" s="188">
        <v>0.20295692504880899</v>
      </c>
      <c r="E236" s="189">
        <v>13.33</v>
      </c>
      <c r="F236" s="146">
        <f t="shared" si="13"/>
        <v>0.32000371068926009</v>
      </c>
      <c r="G236" s="148">
        <f t="shared" si="14"/>
        <v>0.31520454008039728</v>
      </c>
      <c r="H236" s="149">
        <v>42.29</v>
      </c>
      <c r="I236" s="150">
        <v>3.7789499842257997E-2</v>
      </c>
      <c r="J236" s="151">
        <v>3.3681551057796098E-2</v>
      </c>
      <c r="K236" s="187">
        <f t="shared" si="15"/>
        <v>183.83377557283694</v>
      </c>
      <c r="L236" s="191"/>
      <c r="M236" s="7"/>
      <c r="N236" s="7"/>
      <c r="O236" s="18"/>
      <c r="P236" s="7"/>
      <c r="Q236" s="7"/>
      <c r="R236" s="95"/>
    </row>
    <row r="237" spans="1:18" ht="14.4" customHeight="1">
      <c r="A237" s="51"/>
      <c r="B237" s="153">
        <v>44228</v>
      </c>
      <c r="C237" s="181">
        <f t="shared" si="16"/>
        <v>13.953121174889304</v>
      </c>
      <c r="D237" s="182">
        <v>0.20312117488930401</v>
      </c>
      <c r="E237" s="183">
        <v>13.75</v>
      </c>
      <c r="F237" s="154">
        <f t="shared" si="13"/>
        <v>0.32654156739736262</v>
      </c>
      <c r="G237" s="156">
        <f t="shared" si="14"/>
        <v>0.32178797098057571</v>
      </c>
      <c r="H237" s="85">
        <v>42.73</v>
      </c>
      <c r="I237" s="158">
        <v>3.87701185452917E-2</v>
      </c>
      <c r="J237" s="159">
        <v>3.4587439972645601E-2</v>
      </c>
      <c r="K237" s="181">
        <f t="shared" si="15"/>
        <v>184.66699084537746</v>
      </c>
      <c r="L237" s="192"/>
      <c r="M237" s="7"/>
      <c r="N237" s="7"/>
      <c r="O237" s="18"/>
      <c r="P237" s="7"/>
      <c r="Q237" s="7"/>
      <c r="R237" s="95"/>
    </row>
    <row r="238" spans="1:18" ht="14.4" customHeight="1">
      <c r="A238" s="51"/>
      <c r="B238" s="153">
        <v>44256</v>
      </c>
      <c r="C238" s="181">
        <f t="shared" si="16"/>
        <v>14.163758744714405</v>
      </c>
      <c r="D238" s="182">
        <v>0.16375874471440599</v>
      </c>
      <c r="E238" s="183">
        <v>14</v>
      </c>
      <c r="F238" s="154">
        <f t="shared" si="13"/>
        <v>0.31998370560081341</v>
      </c>
      <c r="G238" s="156">
        <f t="shared" si="14"/>
        <v>0.31628411350081326</v>
      </c>
      <c r="H238" s="85">
        <v>44.264000000000003</v>
      </c>
      <c r="I238" s="158">
        <v>3.9652218084881702E-2</v>
      </c>
      <c r="J238" s="159">
        <v>3.49223495413978E-2</v>
      </c>
      <c r="K238" s="181">
        <f t="shared" si="15"/>
        <v>184.39559919622209</v>
      </c>
      <c r="L238" s="192"/>
      <c r="M238" s="7"/>
      <c r="N238" s="7"/>
      <c r="O238" s="18"/>
      <c r="P238" s="7"/>
      <c r="Q238" s="7"/>
      <c r="R238" s="95"/>
    </row>
    <row r="239" spans="1:18" ht="14.4" customHeight="1">
      <c r="A239" s="51"/>
      <c r="B239" s="153">
        <v>44287</v>
      </c>
      <c r="C239" s="181">
        <f t="shared" si="16"/>
        <v>15.079548290623649</v>
      </c>
      <c r="D239" s="182">
        <v>0.16954829062364901</v>
      </c>
      <c r="E239" s="183">
        <v>14.91</v>
      </c>
      <c r="F239" s="154">
        <f t="shared" si="13"/>
        <v>0.34201742550745401</v>
      </c>
      <c r="G239" s="156">
        <f t="shared" si="14"/>
        <v>0.33817192107053751</v>
      </c>
      <c r="H239" s="85">
        <v>44.09</v>
      </c>
      <c r="I239" s="158">
        <v>4.0039821410044397E-2</v>
      </c>
      <c r="J239" s="159">
        <v>3.46266814163321E-2</v>
      </c>
      <c r="K239" s="181">
        <f t="shared" si="15"/>
        <v>196.07638756404626</v>
      </c>
      <c r="L239" s="192"/>
      <c r="M239" s="7"/>
      <c r="N239" s="7"/>
      <c r="O239" s="18"/>
      <c r="P239" s="7"/>
      <c r="Q239" s="7"/>
      <c r="R239" s="95"/>
    </row>
    <row r="240" spans="1:18" ht="14.4" customHeight="1">
      <c r="A240" s="51"/>
      <c r="B240" s="153">
        <v>44317</v>
      </c>
      <c r="C240" s="181">
        <f t="shared" si="16"/>
        <v>15.571597445714275</v>
      </c>
      <c r="D240" s="182">
        <f>0.00203673211762163+0.209560713596654</f>
        <v>0.21159744571427563</v>
      </c>
      <c r="E240" s="183">
        <v>15.36</v>
      </c>
      <c r="F240" s="154">
        <f t="shared" si="13"/>
        <v>0.35402063079946061</v>
      </c>
      <c r="G240" s="156">
        <f t="shared" si="14"/>
        <v>0.34920995794020687</v>
      </c>
      <c r="H240" s="85">
        <v>43.984999999999999</v>
      </c>
      <c r="I240" s="158">
        <v>3.9892883779493203E-2</v>
      </c>
      <c r="J240" s="159">
        <v>3.49021393414626E-2</v>
      </c>
      <c r="K240" s="181">
        <f t="shared" si="15"/>
        <v>202.12649373862428</v>
      </c>
      <c r="L240" s="192"/>
      <c r="M240" s="7"/>
      <c r="N240" s="7"/>
      <c r="O240" s="18"/>
      <c r="P240" s="7"/>
      <c r="Q240" s="7"/>
      <c r="R240" s="95"/>
    </row>
    <row r="241" spans="1:18" ht="14.4" customHeight="1">
      <c r="A241" s="51"/>
      <c r="B241" s="153">
        <v>44348</v>
      </c>
      <c r="C241" s="181">
        <f t="shared" si="16"/>
        <v>15.486103435299105</v>
      </c>
      <c r="D241" s="182">
        <f>0.00118985258586109+0.174913582713243</f>
        <v>0.17610343529910411</v>
      </c>
      <c r="E241" s="183">
        <v>15.31</v>
      </c>
      <c r="F241" s="154">
        <f t="shared" si="13"/>
        <v>0.35518585860777763</v>
      </c>
      <c r="G241" s="156">
        <f t="shared" si="14"/>
        <v>0.35114678899082569</v>
      </c>
      <c r="H241" s="85">
        <v>43.6</v>
      </c>
      <c r="I241" s="158">
        <v>3.9796523892949201E-2</v>
      </c>
      <c r="J241" s="159">
        <v>3.45546631460662E-2</v>
      </c>
      <c r="K241" s="181">
        <f t="shared" si="15"/>
        <v>202.21670262025006</v>
      </c>
      <c r="L241" s="192"/>
      <c r="M241" s="7"/>
      <c r="N241" s="7"/>
      <c r="O241" s="18"/>
      <c r="P241" s="7"/>
      <c r="Q241" s="7"/>
      <c r="R241" s="95"/>
    </row>
    <row r="242" spans="1:18" ht="14.4" customHeight="1">
      <c r="A242" s="51"/>
      <c r="B242" s="153">
        <v>44378</v>
      </c>
      <c r="C242" s="181">
        <f t="shared" si="16"/>
        <v>15.813504263244047</v>
      </c>
      <c r="D242" s="182">
        <v>0.47350426324404798</v>
      </c>
      <c r="E242" s="183">
        <v>15.34</v>
      </c>
      <c r="F242" s="154">
        <f t="shared" si="13"/>
        <v>0.36076709929149381</v>
      </c>
      <c r="G242" s="156">
        <f t="shared" si="14"/>
        <v>0.34996463851436133</v>
      </c>
      <c r="H242" s="85">
        <v>43.832999999999998</v>
      </c>
      <c r="I242" s="158">
        <v>3.8947829364680303E-2</v>
      </c>
      <c r="J242" s="159">
        <v>3.4796756845776301E-2</v>
      </c>
      <c r="K242" s="181">
        <f t="shared" si="15"/>
        <v>208.19042521461935</v>
      </c>
      <c r="L242" s="193" t="s">
        <v>92</v>
      </c>
      <c r="M242" s="7"/>
      <c r="N242" s="7"/>
      <c r="O242" s="18"/>
      <c r="P242" s="7"/>
      <c r="Q242" s="7"/>
      <c r="R242" s="95"/>
    </row>
    <row r="243" spans="1:18" ht="14.4" customHeight="1">
      <c r="A243" s="51"/>
      <c r="B243" s="153">
        <v>44409</v>
      </c>
      <c r="C243" s="181">
        <f t="shared" si="16"/>
        <v>15.836401931120198</v>
      </c>
      <c r="D243" s="182">
        <v>0.47640193112019902</v>
      </c>
      <c r="E243" s="183">
        <v>15.36</v>
      </c>
      <c r="F243" s="154">
        <f t="shared" si="13"/>
        <v>0.36641374204350297</v>
      </c>
      <c r="G243" s="156">
        <f t="shared" si="14"/>
        <v>0.35539102267468764</v>
      </c>
      <c r="H243" s="85">
        <v>43.22</v>
      </c>
      <c r="I243" s="158">
        <v>3.8296461804713001E-2</v>
      </c>
      <c r="J243" s="159">
        <v>3.5414228595007501E-2</v>
      </c>
      <c r="K243" s="181">
        <f t="shared" si="15"/>
        <v>208.58775603057219</v>
      </c>
      <c r="L243" s="193" t="s">
        <v>92</v>
      </c>
      <c r="M243" s="7"/>
      <c r="N243" s="7"/>
      <c r="O243" s="18"/>
      <c r="P243" s="7"/>
      <c r="Q243" s="7"/>
      <c r="R243" s="95"/>
    </row>
    <row r="244" spans="1:18" ht="14.4" customHeight="1">
      <c r="A244" s="51"/>
      <c r="B244" s="153">
        <v>44440</v>
      </c>
      <c r="C244" s="181">
        <f t="shared" si="16"/>
        <v>15.656062480787583</v>
      </c>
      <c r="D244" s="182">
        <v>0.47606248078758301</v>
      </c>
      <c r="E244" s="183">
        <v>15.18</v>
      </c>
      <c r="F244" s="154">
        <f t="shared" si="13"/>
        <v>0.36669545569241324</v>
      </c>
      <c r="G244" s="156">
        <f t="shared" si="14"/>
        <v>0.35554514580161611</v>
      </c>
      <c r="H244" s="85">
        <v>42.695</v>
      </c>
      <c r="I244" s="158">
        <v>3.8269882009589397E-2</v>
      </c>
      <c r="J244" s="159">
        <v>3.4712814083737803E-2</v>
      </c>
      <c r="K244" s="181">
        <f t="shared" si="15"/>
        <v>208.2693771893768</v>
      </c>
      <c r="L244" s="193" t="s">
        <v>92</v>
      </c>
      <c r="M244" s="7"/>
      <c r="N244" s="7"/>
      <c r="O244" s="18"/>
      <c r="P244" s="7"/>
      <c r="Q244" s="7"/>
      <c r="R244" s="95"/>
    </row>
    <row r="245" spans="1:18" ht="14.4" customHeight="1">
      <c r="A245" s="51"/>
      <c r="B245" s="153">
        <v>44470</v>
      </c>
      <c r="C245" s="181">
        <v>15.192514188333</v>
      </c>
      <c r="D245" s="182">
        <f>C245-E245</f>
        <v>0.25251418833300043</v>
      </c>
      <c r="E245" s="183">
        <v>14.94</v>
      </c>
      <c r="F245" s="154">
        <f t="shared" si="13"/>
        <v>0.34832433483888942</v>
      </c>
      <c r="G245" s="156">
        <f t="shared" si="14"/>
        <v>0.34253484959647834</v>
      </c>
      <c r="H245" s="85">
        <v>43.616</v>
      </c>
      <c r="I245" s="158">
        <v>3.7856374383229502E-2</v>
      </c>
      <c r="J245" s="159">
        <v>3.4308542682823198E-2</v>
      </c>
      <c r="K245" s="181">
        <f t="shared" si="15"/>
        <v>204.39313692524394</v>
      </c>
      <c r="L245" s="192"/>
      <c r="M245" s="7"/>
      <c r="N245" s="7"/>
      <c r="O245" s="18"/>
      <c r="P245" s="7"/>
      <c r="Q245" s="7"/>
      <c r="R245" s="95"/>
    </row>
    <row r="246" spans="1:18" ht="14.4" customHeight="1">
      <c r="A246" s="51"/>
      <c r="B246" s="153">
        <v>44501</v>
      </c>
      <c r="C246" s="181">
        <v>15.614924580247999</v>
      </c>
      <c r="D246" s="182">
        <f>C246-E246</f>
        <v>0.22492458024799866</v>
      </c>
      <c r="E246" s="183">
        <v>15.39</v>
      </c>
      <c r="F246" s="154">
        <f t="shared" si="13"/>
        <v>0.35496532348824728</v>
      </c>
      <c r="G246" s="156">
        <f>E246/H246</f>
        <v>0.34985223914526026</v>
      </c>
      <c r="H246" s="85">
        <v>43.99</v>
      </c>
      <c r="I246" s="158">
        <v>3.74779985288183E-2</v>
      </c>
      <c r="J246" s="159">
        <v>3.3048522154016297E-2</v>
      </c>
      <c r="K246" s="181">
        <f t="shared" si="15"/>
        <v>214.95631437532259</v>
      </c>
      <c r="L246" s="192"/>
      <c r="M246" s="7"/>
      <c r="N246" s="7"/>
      <c r="O246" s="18"/>
      <c r="P246" s="7"/>
      <c r="Q246" s="7"/>
      <c r="R246" s="95"/>
    </row>
    <row r="247" spans="1:18" ht="14.4" customHeight="1">
      <c r="A247" s="51"/>
      <c r="B247" s="161">
        <v>44531</v>
      </c>
      <c r="C247" s="176">
        <v>15.7636654990532</v>
      </c>
      <c r="D247" s="182">
        <f>C247-E247</f>
        <v>0.22366549905320099</v>
      </c>
      <c r="E247" s="178">
        <v>15.54</v>
      </c>
      <c r="F247" s="162">
        <f t="shared" si="13"/>
        <v>0.35563825152968298</v>
      </c>
      <c r="G247" s="164">
        <f t="shared" ref="G247:G288" si="17">E247/H247</f>
        <v>0.35059221658206424</v>
      </c>
      <c r="H247" s="86">
        <v>44.325000000000003</v>
      </c>
      <c r="I247" s="166">
        <v>3.6908953483118699E-2</v>
      </c>
      <c r="J247" s="167">
        <v>3.3612395124754099E-2</v>
      </c>
      <c r="K247" s="176">
        <f t="shared" si="15"/>
        <v>217.01980907697376</v>
      </c>
      <c r="L247" s="192"/>
      <c r="M247" s="7"/>
      <c r="N247" s="7"/>
      <c r="O247" s="18"/>
      <c r="P247" s="7"/>
      <c r="Q247" s="7"/>
      <c r="R247" s="95"/>
    </row>
    <row r="248" spans="1:18" ht="14.4" customHeight="1">
      <c r="A248" s="51"/>
      <c r="B248" s="145">
        <v>44562</v>
      </c>
      <c r="C248" s="214">
        <f>E248+D248</f>
        <v>15.91</v>
      </c>
      <c r="D248" s="229">
        <v>0</v>
      </c>
      <c r="E248" s="225">
        <v>15.91</v>
      </c>
      <c r="F248" s="146">
        <f>C248/H248</f>
        <v>0.35740761541053578</v>
      </c>
      <c r="G248" s="148">
        <f t="shared" si="17"/>
        <v>0.35740761541053578</v>
      </c>
      <c r="H248" s="149">
        <v>44.515000000000001</v>
      </c>
      <c r="I248" s="150">
        <v>3.78329290502794E-2</v>
      </c>
      <c r="J248" s="151">
        <v>3.3418516229625599E-2</v>
      </c>
      <c r="K248" s="214">
        <f t="shared" si="15"/>
        <v>216.79001571220013</v>
      </c>
      <c r="L248" s="219"/>
      <c r="M248" s="7"/>
      <c r="N248" s="7"/>
      <c r="O248" s="18"/>
      <c r="P248" s="7"/>
      <c r="Q248" s="7"/>
      <c r="R248" s="95"/>
    </row>
    <row r="249" spans="1:18" ht="14.4" customHeight="1">
      <c r="A249" s="51"/>
      <c r="B249" s="153">
        <v>44593</v>
      </c>
      <c r="C249" s="215">
        <f t="shared" ref="C249:C273" si="18">E249+D249</f>
        <v>17.211752500934708</v>
      </c>
      <c r="D249" s="230">
        <v>1.75250093470559E-3</v>
      </c>
      <c r="E249" s="226">
        <v>17.21</v>
      </c>
      <c r="F249" s="154">
        <f t="shared" ref="F249:F281" si="19">C249/H249</f>
        <v>0.39861396745952216</v>
      </c>
      <c r="G249" s="156">
        <f t="shared" si="17"/>
        <v>0.39857338057852199</v>
      </c>
      <c r="H249" s="85">
        <v>43.179000000000002</v>
      </c>
      <c r="I249" s="158">
        <v>3.89881881228352E-2</v>
      </c>
      <c r="J249" s="159">
        <v>3.4741207477945797E-2</v>
      </c>
      <c r="K249" s="215">
        <f t="shared" si="15"/>
        <v>226.64554870050804</v>
      </c>
      <c r="L249" s="218"/>
      <c r="M249" s="7"/>
      <c r="N249" s="7"/>
      <c r="O249" s="18"/>
      <c r="P249" s="7"/>
      <c r="Q249" s="7"/>
      <c r="R249" s="95"/>
    </row>
    <row r="250" spans="1:18" ht="14.4" customHeight="1">
      <c r="A250" s="51"/>
      <c r="B250" s="153">
        <v>44621</v>
      </c>
      <c r="C250" s="215">
        <f t="shared" si="18"/>
        <v>17.776360207407869</v>
      </c>
      <c r="D250" s="230">
        <v>6.3602074078710101E-3</v>
      </c>
      <c r="E250" s="226">
        <v>17.77</v>
      </c>
      <c r="F250" s="154">
        <f t="shared" si="19"/>
        <v>0.42081197375678497</v>
      </c>
      <c r="G250" s="156">
        <f t="shared" si="17"/>
        <v>0.42066141135809482</v>
      </c>
      <c r="H250" s="85">
        <v>42.243000000000002</v>
      </c>
      <c r="I250" s="158">
        <v>4.0269527962401797E-2</v>
      </c>
      <c r="J250" s="159">
        <v>3.5512662287271103E-2</v>
      </c>
      <c r="K250" s="215">
        <f t="shared" si="15"/>
        <v>227.73955313582309</v>
      </c>
      <c r="L250" s="218"/>
      <c r="M250" s="7"/>
      <c r="N250" s="7"/>
      <c r="O250" s="18"/>
      <c r="P250" s="7"/>
      <c r="Q250" s="7"/>
      <c r="R250" s="95"/>
    </row>
    <row r="251" spans="1:18" ht="14.4" customHeight="1">
      <c r="A251" s="51"/>
      <c r="B251" s="153">
        <v>44652</v>
      </c>
      <c r="C251" s="215">
        <f t="shared" si="18"/>
        <v>17.920605837801471</v>
      </c>
      <c r="D251" s="231">
        <v>6.0583780146866403E-4</v>
      </c>
      <c r="E251" s="227">
        <v>17.920000000000002</v>
      </c>
      <c r="F251" s="209">
        <f t="shared" si="19"/>
        <v>0.43550525742548957</v>
      </c>
      <c r="G251" s="210">
        <f t="shared" si="17"/>
        <v>0.4354905343993779</v>
      </c>
      <c r="H251" s="211">
        <v>41.149000000000001</v>
      </c>
      <c r="I251" s="212">
        <v>4.0417428595393698E-2</v>
      </c>
      <c r="J251" s="213">
        <v>3.5568209777648997E-2</v>
      </c>
      <c r="K251" s="216">
        <f t="shared" si="15"/>
        <v>228.97282719467069</v>
      </c>
      <c r="L251" s="218"/>
      <c r="M251" s="7"/>
      <c r="N251" s="7"/>
      <c r="O251" s="18"/>
      <c r="P251" s="7"/>
      <c r="Q251" s="7"/>
      <c r="R251" s="95"/>
    </row>
    <row r="252" spans="1:18" ht="14.4" customHeight="1">
      <c r="A252" s="51"/>
      <c r="B252" s="153">
        <v>44682</v>
      </c>
      <c r="C252" s="215">
        <f t="shared" si="18"/>
        <v>17.810328417923383</v>
      </c>
      <c r="D252" s="231">
        <v>3.2841792338313201E-4</v>
      </c>
      <c r="E252" s="227">
        <v>17.809999999999999</v>
      </c>
      <c r="F252" s="209">
        <f t="shared" si="19"/>
        <v>0.43697748706814321</v>
      </c>
      <c r="G252" s="210">
        <f t="shared" si="17"/>
        <v>0.43696942931449034</v>
      </c>
      <c r="H252" s="211">
        <v>40.758000000000003</v>
      </c>
      <c r="I252" s="212">
        <v>4.0115362983394402E-2</v>
      </c>
      <c r="J252" s="213">
        <v>3.5483721578447799E-2</v>
      </c>
      <c r="K252" s="216">
        <f t="shared" si="15"/>
        <v>228.72738590015763</v>
      </c>
      <c r="L252" s="218"/>
      <c r="M252" s="7"/>
      <c r="N252" s="7"/>
      <c r="O252" s="18"/>
      <c r="P252" s="7"/>
      <c r="Q252" s="7"/>
      <c r="R252" s="95"/>
    </row>
    <row r="253" spans="1:18" ht="14.4" customHeight="1">
      <c r="A253" s="51"/>
      <c r="B253" s="153">
        <v>44713</v>
      </c>
      <c r="C253" s="215">
        <f t="shared" si="18"/>
        <v>17.760328417923386</v>
      </c>
      <c r="D253" s="231">
        <v>3.2841792338313201E-4</v>
      </c>
      <c r="E253" s="227">
        <v>17.760000000000002</v>
      </c>
      <c r="F253" s="209">
        <f t="shared" si="19"/>
        <v>0.4464637611343234</v>
      </c>
      <c r="G253" s="210">
        <f t="shared" si="17"/>
        <v>0.44645550527903471</v>
      </c>
      <c r="H253" s="211">
        <v>39.78</v>
      </c>
      <c r="I253" s="212">
        <v>3.9899999999999998E-2</v>
      </c>
      <c r="J253" s="213">
        <v>3.5299999999999998E-2</v>
      </c>
      <c r="K253" s="216">
        <f t="shared" si="15"/>
        <v>229.29570876269608</v>
      </c>
      <c r="L253" s="218"/>
      <c r="M253" s="7"/>
      <c r="N253" s="7"/>
      <c r="O253" s="18"/>
      <c r="P253" s="7"/>
      <c r="Q253" s="7"/>
      <c r="R253" s="95"/>
    </row>
    <row r="254" spans="1:18" ht="14.4" customHeight="1">
      <c r="A254" s="6"/>
      <c r="B254" s="153">
        <v>44743</v>
      </c>
      <c r="C254" s="216">
        <f t="shared" si="18"/>
        <v>17.48</v>
      </c>
      <c r="D254" s="231">
        <v>0</v>
      </c>
      <c r="E254" s="227">
        <v>17.48</v>
      </c>
      <c r="F254" s="209">
        <f t="shared" si="19"/>
        <v>0.42540764176198587</v>
      </c>
      <c r="G254" s="210">
        <f t="shared" si="17"/>
        <v>0.42540764176198587</v>
      </c>
      <c r="H254" s="211">
        <v>41.09</v>
      </c>
      <c r="I254" s="212">
        <v>3.9465518269064123E-2</v>
      </c>
      <c r="J254" s="213">
        <v>3.4516785458536821E-2</v>
      </c>
      <c r="K254" s="216">
        <f t="shared" si="15"/>
        <v>229.39098853820036</v>
      </c>
      <c r="L254" s="218"/>
      <c r="M254" s="7"/>
      <c r="N254" s="7"/>
      <c r="O254" s="18"/>
      <c r="P254" s="7"/>
      <c r="Q254" s="7"/>
      <c r="R254" s="95"/>
    </row>
    <row r="255" spans="1:18" s="205" customFormat="1" ht="14.4" customHeight="1">
      <c r="A255" s="200"/>
      <c r="B255" s="224">
        <v>44774</v>
      </c>
      <c r="C255" s="216">
        <f t="shared" si="18"/>
        <v>17.25</v>
      </c>
      <c r="D255" s="231">
        <v>0</v>
      </c>
      <c r="E255" s="227">
        <v>17.25</v>
      </c>
      <c r="F255" s="209">
        <f t="shared" si="19"/>
        <v>0.4263470093919921</v>
      </c>
      <c r="G255" s="210">
        <f t="shared" si="17"/>
        <v>0.4263470093919921</v>
      </c>
      <c r="H255" s="211">
        <v>40.46</v>
      </c>
      <c r="I255" s="212">
        <v>3.7719528712704134E-2</v>
      </c>
      <c r="J255" s="213">
        <v>3.456229839247256E-2</v>
      </c>
      <c r="K255" s="216">
        <f t="shared" si="15"/>
        <v>231.69824956367975</v>
      </c>
      <c r="L255" s="218"/>
      <c r="M255" s="202"/>
      <c r="N255" s="202"/>
      <c r="O255" s="203"/>
      <c r="P255" s="202"/>
      <c r="Q255" s="202"/>
      <c r="R255" s="204"/>
    </row>
    <row r="256" spans="1:18" s="205" customFormat="1" ht="14.4" customHeight="1">
      <c r="A256" s="200"/>
      <c r="B256" s="224">
        <v>44805</v>
      </c>
      <c r="C256" s="216">
        <f t="shared" si="18"/>
        <v>17.099980940889377</v>
      </c>
      <c r="D256" s="231">
        <v>-1.9059110622868387E-5</v>
      </c>
      <c r="E256" s="228">
        <v>17.100000000000001</v>
      </c>
      <c r="F256" s="209">
        <f t="shared" si="19"/>
        <v>0.41768395068122566</v>
      </c>
      <c r="G256" s="210">
        <f t="shared" si="17"/>
        <v>0.41768441621885694</v>
      </c>
      <c r="H256" s="211">
        <v>40.94</v>
      </c>
      <c r="I256" s="212">
        <v>3.780959287632641E-2</v>
      </c>
      <c r="J256" s="213">
        <v>3.484669920874011E-2</v>
      </c>
      <c r="K256" s="216">
        <f t="shared" si="15"/>
        <v>228.49945637391272</v>
      </c>
      <c r="L256" s="218"/>
      <c r="M256" s="202"/>
      <c r="N256" s="202"/>
      <c r="O256" s="203"/>
      <c r="P256" s="202"/>
      <c r="Q256" s="202"/>
      <c r="R256" s="204"/>
    </row>
    <row r="257" spans="1:18" s="205" customFormat="1" ht="14.4" customHeight="1">
      <c r="A257" s="200"/>
      <c r="B257" s="224">
        <v>44835</v>
      </c>
      <c r="C257" s="216">
        <f t="shared" si="18"/>
        <v>16.809999999999999</v>
      </c>
      <c r="D257" s="231">
        <v>0</v>
      </c>
      <c r="E257" s="228">
        <v>16.809999999999999</v>
      </c>
      <c r="F257" s="209">
        <f t="shared" si="19"/>
        <v>0.40940087676570869</v>
      </c>
      <c r="G257" s="210">
        <f t="shared" si="17"/>
        <v>0.40940087676570869</v>
      </c>
      <c r="H257" s="211">
        <v>41.06</v>
      </c>
      <c r="I257" s="212">
        <v>3.8129142570975549E-2</v>
      </c>
      <c r="J257" s="213">
        <v>3.4230740736574776E-2</v>
      </c>
      <c r="K257" s="216">
        <f t="shared" si="15"/>
        <v>225.54470244442234</v>
      </c>
      <c r="L257" s="218"/>
      <c r="M257" s="202"/>
      <c r="N257" s="202"/>
      <c r="O257" s="203"/>
      <c r="P257" s="202"/>
      <c r="Q257" s="202"/>
      <c r="R257" s="204"/>
    </row>
    <row r="258" spans="1:18" s="205" customFormat="1" ht="14.4" customHeight="1">
      <c r="A258" s="200"/>
      <c r="B258" s="224">
        <v>44866</v>
      </c>
      <c r="C258" s="216">
        <f t="shared" si="18"/>
        <v>16.53</v>
      </c>
      <c r="D258" s="231">
        <v>0</v>
      </c>
      <c r="E258" s="228">
        <v>16.53</v>
      </c>
      <c r="F258" s="209">
        <f t="shared" si="19"/>
        <v>0.41588044380707984</v>
      </c>
      <c r="G258" s="210">
        <f t="shared" si="17"/>
        <v>0.41588044380707984</v>
      </c>
      <c r="H258" s="211">
        <v>39.747</v>
      </c>
      <c r="I258" s="212">
        <v>3.8208284005134062E-2</v>
      </c>
      <c r="J258" s="213">
        <v>3.353282923193044E-2</v>
      </c>
      <c r="K258" s="216">
        <f t="shared" si="15"/>
        <v>223.700789758989</v>
      </c>
      <c r="L258" s="218"/>
      <c r="M258" s="202"/>
      <c r="N258" s="202"/>
      <c r="O258" s="203"/>
      <c r="P258" s="202"/>
      <c r="Q258" s="202"/>
      <c r="R258" s="204"/>
    </row>
    <row r="259" spans="1:18" s="205" customFormat="1" ht="14.4" customHeight="1">
      <c r="A259" s="200"/>
      <c r="B259" s="153">
        <v>44896</v>
      </c>
      <c r="C259" s="216">
        <f t="shared" si="18"/>
        <v>16.37</v>
      </c>
      <c r="D259" s="231">
        <v>0</v>
      </c>
      <c r="E259" s="227">
        <v>16.37</v>
      </c>
      <c r="F259" s="209">
        <f t="shared" si="19"/>
        <v>0.41877718086467125</v>
      </c>
      <c r="G259" s="210">
        <f t="shared" si="17"/>
        <v>0.41877718086467125</v>
      </c>
      <c r="H259" s="211">
        <v>39.090000000000003</v>
      </c>
      <c r="I259" s="212">
        <v>3.7937810625208311E-2</v>
      </c>
      <c r="J259" s="213">
        <v>3.3147505790751756E-2</v>
      </c>
      <c r="K259" s="216">
        <f t="shared" si="15"/>
        <v>223.57928029039209</v>
      </c>
      <c r="L259" s="218"/>
      <c r="M259" s="202"/>
      <c r="N259" s="202"/>
      <c r="O259" s="203"/>
      <c r="P259" s="202"/>
      <c r="Q259" s="202"/>
      <c r="R259" s="204"/>
    </row>
    <row r="260" spans="1:18" s="205" customFormat="1" ht="14.4" customHeight="1">
      <c r="A260" s="200"/>
      <c r="B260" s="232">
        <v>44927</v>
      </c>
      <c r="C260" s="233">
        <f t="shared" si="18"/>
        <v>16.57</v>
      </c>
      <c r="D260" s="234">
        <v>0</v>
      </c>
      <c r="E260" s="235">
        <v>16.57</v>
      </c>
      <c r="F260" s="236">
        <f t="shared" si="19"/>
        <v>0.42070786573909508</v>
      </c>
      <c r="G260" s="237">
        <f t="shared" si="17"/>
        <v>0.42070786573909508</v>
      </c>
      <c r="H260" s="238">
        <v>39.386000000000003</v>
      </c>
      <c r="I260" s="239">
        <v>3.8086888273059456E-2</v>
      </c>
      <c r="J260" s="240">
        <v>3.3854878561984929E-2</v>
      </c>
      <c r="K260" s="241">
        <f t="shared" si="15"/>
        <v>223.61667427022641</v>
      </c>
      <c r="L260" s="245"/>
      <c r="M260" s="202"/>
      <c r="N260" s="202"/>
      <c r="O260" s="203"/>
      <c r="P260" s="202"/>
      <c r="Q260" s="202"/>
      <c r="R260" s="204"/>
    </row>
    <row r="261" spans="1:18" s="205" customFormat="1" ht="14.4" customHeight="1">
      <c r="A261" s="200"/>
      <c r="B261" s="242">
        <v>44958</v>
      </c>
      <c r="C261" s="216">
        <f t="shared" si="18"/>
        <v>16.95</v>
      </c>
      <c r="D261" s="231">
        <v>0</v>
      </c>
      <c r="E261" s="228">
        <v>16.95</v>
      </c>
      <c r="F261" s="209">
        <f t="shared" si="19"/>
        <v>0.43430357691913496</v>
      </c>
      <c r="G261" s="210">
        <f t="shared" si="17"/>
        <v>0.43430357691913496</v>
      </c>
      <c r="H261" s="211">
        <v>39.027999999999999</v>
      </c>
      <c r="I261" s="212">
        <v>3.9066822242545582E-2</v>
      </c>
      <c r="J261" s="213">
        <v>3.4603604577321291E-2</v>
      </c>
      <c r="K261" s="244">
        <f t="shared" si="15"/>
        <v>223.37743094456781</v>
      </c>
      <c r="L261" s="246"/>
      <c r="M261" s="202"/>
      <c r="N261" s="202"/>
      <c r="O261" s="203"/>
      <c r="P261" s="202"/>
      <c r="Q261" s="202"/>
      <c r="R261" s="204"/>
    </row>
    <row r="262" spans="1:18" s="205" customFormat="1" ht="14.4" customHeight="1">
      <c r="A262" s="200"/>
      <c r="B262" s="242">
        <v>44986</v>
      </c>
      <c r="C262" s="216">
        <f t="shared" si="18"/>
        <v>17.200016658349792</v>
      </c>
      <c r="D262" s="231">
        <v>1.6658349792239802E-5</v>
      </c>
      <c r="E262" s="228">
        <v>17.2</v>
      </c>
      <c r="F262" s="209">
        <f t="shared" si="19"/>
        <v>0.43976315857920312</v>
      </c>
      <c r="G262" s="210">
        <f t="shared" si="17"/>
        <v>0.43976273266516669</v>
      </c>
      <c r="H262" s="211">
        <v>39.112000000000002</v>
      </c>
      <c r="I262" s="212">
        <v>3.9823790558037753E-2</v>
      </c>
      <c r="J262" s="213">
        <v>3.4908895718183959E-2</v>
      </c>
      <c r="K262" s="244">
        <f t="shared" si="15"/>
        <v>223.45035527890556</v>
      </c>
      <c r="L262" s="246"/>
      <c r="M262" s="202"/>
      <c r="N262" s="202"/>
      <c r="O262" s="203"/>
      <c r="P262" s="202"/>
      <c r="Q262" s="202"/>
      <c r="R262" s="204"/>
    </row>
    <row r="263" spans="1:18" s="205" customFormat="1" ht="14.4" customHeight="1">
      <c r="A263" s="200"/>
      <c r="B263" s="242">
        <v>45017</v>
      </c>
      <c r="C263" s="216">
        <f t="shared" si="18"/>
        <v>17.630013599253441</v>
      </c>
      <c r="D263" s="231">
        <v>1.3599253442915407E-5</v>
      </c>
      <c r="E263" s="228">
        <v>17.63</v>
      </c>
      <c r="F263" s="209">
        <f t="shared" si="19"/>
        <v>0.45461613200756679</v>
      </c>
      <c r="G263" s="210">
        <f t="shared" si="17"/>
        <v>0.45461578133058272</v>
      </c>
      <c r="H263" s="211">
        <v>38.78</v>
      </c>
      <c r="I263" s="212">
        <v>4.0471918061096179E-2</v>
      </c>
      <c r="J263" s="213">
        <v>3.5734123255110196E-2</v>
      </c>
      <c r="K263" s="244">
        <f t="shared" si="15"/>
        <v>224.60841374117575</v>
      </c>
      <c r="L263" s="246"/>
      <c r="M263" s="202"/>
      <c r="N263" s="202"/>
      <c r="O263" s="203"/>
      <c r="P263" s="202"/>
      <c r="Q263" s="202"/>
      <c r="R263" s="204"/>
    </row>
    <row r="264" spans="1:18" ht="14.4" customHeight="1">
      <c r="A264" s="6"/>
      <c r="B264" s="242">
        <v>45047</v>
      </c>
      <c r="C264" s="216">
        <f t="shared" si="18"/>
        <v>17.61</v>
      </c>
      <c r="D264" s="231">
        <v>0</v>
      </c>
      <c r="E264" s="228">
        <v>17.61</v>
      </c>
      <c r="F264" s="209">
        <f t="shared" si="19"/>
        <v>0.45315354725817658</v>
      </c>
      <c r="G264" s="210">
        <f t="shared" si="17"/>
        <v>0.45315354725817658</v>
      </c>
      <c r="H264" s="211">
        <v>38.860999999999997</v>
      </c>
      <c r="I264" s="212">
        <v>4.0360352992275243E-2</v>
      </c>
      <c r="J264" s="213">
        <v>3.5570920829075259E-2</v>
      </c>
      <c r="K264" s="244">
        <f t="shared" ref="K264:K289" si="20">C264/1.03/(I264+J264)</f>
        <v>225.16529116667317</v>
      </c>
      <c r="L264" s="247"/>
      <c r="M264" s="7"/>
      <c r="N264" s="7"/>
      <c r="O264" s="18"/>
      <c r="P264" s="7"/>
      <c r="Q264" s="7"/>
      <c r="R264" s="95"/>
    </row>
    <row r="265" spans="1:18" ht="14.4" customHeight="1">
      <c r="A265" s="6"/>
      <c r="B265" s="242">
        <v>45078</v>
      </c>
      <c r="C265" s="216">
        <f t="shared" si="18"/>
        <v>17.38</v>
      </c>
      <c r="D265" s="231">
        <v>0</v>
      </c>
      <c r="E265" s="228">
        <v>17.38</v>
      </c>
      <c r="F265" s="209">
        <f>C265/H265</f>
        <v>0.45497382198952874</v>
      </c>
      <c r="G265" s="210">
        <f t="shared" si="17"/>
        <v>0.45497382198952874</v>
      </c>
      <c r="H265" s="211">
        <v>38.200000000000003</v>
      </c>
      <c r="I265" s="212">
        <v>3.9404605642476671E-2</v>
      </c>
      <c r="J265" s="213">
        <v>3.5402974904770575E-2</v>
      </c>
      <c r="K265" s="244">
        <f t="shared" si="20"/>
        <v>225.56252032653003</v>
      </c>
      <c r="L265" s="247"/>
      <c r="M265" s="7"/>
      <c r="N265" s="7"/>
      <c r="O265" s="18"/>
      <c r="P265" s="7"/>
      <c r="Q265" s="7"/>
      <c r="R265" s="95"/>
    </row>
    <row r="266" spans="1:18" ht="14.4" customHeight="1">
      <c r="A266" s="6"/>
      <c r="B266" s="242">
        <v>45108</v>
      </c>
      <c r="C266" s="216">
        <f t="shared" si="18"/>
        <v>17.399999999999999</v>
      </c>
      <c r="D266" s="249">
        <v>0</v>
      </c>
      <c r="E266" s="250">
        <v>17.399999999999999</v>
      </c>
      <c r="F266" s="209">
        <f t="shared" si="19"/>
        <v>0.45922406967537605</v>
      </c>
      <c r="G266" s="210">
        <f t="shared" si="17"/>
        <v>0.45922406967537605</v>
      </c>
      <c r="H266" s="251">
        <v>37.89</v>
      </c>
      <c r="I266" s="252">
        <v>3.9659274918383995E-2</v>
      </c>
      <c r="J266" s="253">
        <v>3.5283211258000054E-2</v>
      </c>
      <c r="K266" s="254">
        <f t="shared" si="20"/>
        <v>225.41557860431038</v>
      </c>
      <c r="L266" s="247"/>
      <c r="M266" s="7"/>
      <c r="N266" s="7"/>
      <c r="O266" s="18"/>
      <c r="P266" s="7"/>
      <c r="Q266" s="7"/>
      <c r="R266" s="95"/>
    </row>
    <row r="267" spans="1:18" ht="14.4" customHeight="1">
      <c r="A267" s="6"/>
      <c r="B267" s="242">
        <v>45139</v>
      </c>
      <c r="C267" s="216">
        <f t="shared" si="18"/>
        <v>14.422481272119411</v>
      </c>
      <c r="D267" s="249">
        <v>0.14248127211941172</v>
      </c>
      <c r="E267" s="250">
        <v>14.28</v>
      </c>
      <c r="F267" s="209">
        <f t="shared" si="19"/>
        <v>0.38103303141579908</v>
      </c>
      <c r="G267" s="210">
        <f t="shared" si="17"/>
        <v>0.37726876436553858</v>
      </c>
      <c r="H267" s="251">
        <v>37.850999999999999</v>
      </c>
      <c r="I267" s="252">
        <v>3.8801494243189537E-2</v>
      </c>
      <c r="J267" s="253">
        <v>3.5637915872836587E-2</v>
      </c>
      <c r="K267" s="254">
        <f t="shared" si="20"/>
        <v>188.10478186531319</v>
      </c>
      <c r="L267" s="247" t="s">
        <v>93</v>
      </c>
      <c r="M267" s="7"/>
      <c r="N267" s="7"/>
      <c r="O267" s="18"/>
      <c r="P267" s="7"/>
      <c r="Q267" s="7"/>
      <c r="R267" s="95"/>
    </row>
    <row r="268" spans="1:18" ht="14.4" customHeight="1">
      <c r="A268" s="6"/>
      <c r="B268" s="242">
        <v>45170</v>
      </c>
      <c r="C268" s="216">
        <f t="shared" si="18"/>
        <v>14.304367760737883</v>
      </c>
      <c r="D268" s="249">
        <v>0.14436776073788318</v>
      </c>
      <c r="E268" s="250">
        <v>14.16</v>
      </c>
      <c r="F268" s="209">
        <f t="shared" si="19"/>
        <v>0.37498997957159025</v>
      </c>
      <c r="G268" s="210">
        <f t="shared" si="17"/>
        <v>0.37120536884601268</v>
      </c>
      <c r="H268" s="251">
        <v>38.146000000000001</v>
      </c>
      <c r="I268" s="252">
        <v>3.8803509951225335E-2</v>
      </c>
      <c r="J268" s="253">
        <v>3.5896594530447648E-2</v>
      </c>
      <c r="K268" s="254">
        <f t="shared" si="20"/>
        <v>185.91320301893305</v>
      </c>
      <c r="L268" s="247" t="s">
        <v>93</v>
      </c>
      <c r="M268" s="7"/>
      <c r="N268" s="7"/>
      <c r="O268" s="18"/>
      <c r="P268" s="7"/>
      <c r="Q268" s="7"/>
      <c r="R268" s="95"/>
    </row>
    <row r="269" spans="1:18" ht="14.4" customHeight="1">
      <c r="A269" s="6"/>
      <c r="B269" s="242">
        <v>45200</v>
      </c>
      <c r="C269" s="216">
        <f t="shared" si="18"/>
        <v>14.58323079133924</v>
      </c>
      <c r="D269" s="231">
        <v>0.14323079133924047</v>
      </c>
      <c r="E269" s="260">
        <v>14.44</v>
      </c>
      <c r="F269" s="209">
        <f t="shared" si="19"/>
        <v>0.36691988404426318</v>
      </c>
      <c r="G269" s="210">
        <f t="shared" si="17"/>
        <v>0.36331614039501825</v>
      </c>
      <c r="H269" s="211">
        <v>39.744999999999997</v>
      </c>
      <c r="I269" s="212">
        <v>3.865581346345532E-2</v>
      </c>
      <c r="J269" s="213">
        <v>3.5075274685827135E-2</v>
      </c>
      <c r="K269" s="244">
        <v>190.76195070245981</v>
      </c>
      <c r="L269" s="247" t="s">
        <v>93</v>
      </c>
      <c r="M269" s="7"/>
      <c r="N269" s="7"/>
      <c r="O269" s="18"/>
      <c r="P269" s="7"/>
      <c r="Q269" s="7"/>
      <c r="R269" s="95"/>
    </row>
    <row r="270" spans="1:18" ht="14.4" customHeight="1">
      <c r="A270" s="6"/>
      <c r="B270" s="242">
        <v>45231</v>
      </c>
      <c r="C270" s="216">
        <f t="shared" si="18"/>
        <v>14.402061302575852</v>
      </c>
      <c r="D270" s="231">
        <v>0.14206130257585231</v>
      </c>
      <c r="E270" s="260">
        <v>14.26</v>
      </c>
      <c r="F270" s="209">
        <f t="shared" si="19"/>
        <v>0.36411093603579536</v>
      </c>
      <c r="G270" s="210">
        <f t="shared" si="17"/>
        <v>0.3605193616931624</v>
      </c>
      <c r="H270" s="211">
        <v>39.554047619047623</v>
      </c>
      <c r="I270" s="212">
        <v>3.8229507146367324E-2</v>
      </c>
      <c r="J270" s="213">
        <v>3.4547912831612973E-2</v>
      </c>
      <c r="K270" s="244">
        <f t="shared" si="20"/>
        <v>192.128050061945</v>
      </c>
      <c r="L270" s="247" t="s">
        <v>93</v>
      </c>
      <c r="M270" s="7"/>
      <c r="N270" s="7"/>
      <c r="O270" s="18"/>
      <c r="P270" s="7"/>
      <c r="Q270" s="7"/>
      <c r="R270" s="95"/>
    </row>
    <row r="271" spans="1:18" ht="14.4" customHeight="1">
      <c r="A271" s="6"/>
      <c r="B271" s="243">
        <v>45261</v>
      </c>
      <c r="C271" s="261">
        <f t="shared" si="18"/>
        <v>14.07</v>
      </c>
      <c r="D271" s="262">
        <v>0</v>
      </c>
      <c r="E271" s="263">
        <v>14.07</v>
      </c>
      <c r="F271" s="264">
        <f t="shared" si="19"/>
        <v>0.35798793985191973</v>
      </c>
      <c r="G271" s="265">
        <f t="shared" si="17"/>
        <v>0.35798793985191973</v>
      </c>
      <c r="H271" s="266">
        <v>39.302999999999997</v>
      </c>
      <c r="I271" s="267">
        <v>3.8312584380668563E-2</v>
      </c>
      <c r="J271" s="268">
        <v>3.3991968749184961E-2</v>
      </c>
      <c r="K271" s="269">
        <f t="shared" si="20"/>
        <v>188.9257810669904</v>
      </c>
      <c r="L271" s="248"/>
      <c r="M271" s="7"/>
      <c r="N271" s="7"/>
      <c r="O271" s="18"/>
      <c r="P271" s="7"/>
      <c r="Q271" s="7"/>
      <c r="R271" s="95"/>
    </row>
    <row r="272" spans="1:18" ht="14.4" customHeight="1">
      <c r="A272" s="6"/>
      <c r="B272" s="242">
        <v>45292</v>
      </c>
      <c r="C272" s="260">
        <f t="shared" si="18"/>
        <v>14.202466787634474</v>
      </c>
      <c r="D272" s="231">
        <v>2.4667876344748397E-3</v>
      </c>
      <c r="E272" s="260">
        <v>14.2</v>
      </c>
      <c r="F272" s="209">
        <f t="shared" si="19"/>
        <v>0.36287250025893542</v>
      </c>
      <c r="G272" s="210">
        <f t="shared" si="17"/>
        <v>0.36280947392626278</v>
      </c>
      <c r="H272" s="211">
        <v>39.139000000000003</v>
      </c>
      <c r="I272" s="212">
        <v>3.8725127208630042E-2</v>
      </c>
      <c r="J272" s="213">
        <v>3.4232338478782175E-2</v>
      </c>
      <c r="K272" s="244">
        <f t="shared" si="20"/>
        <v>188.99783012638693</v>
      </c>
      <c r="L272" s="270"/>
      <c r="M272" s="7"/>
      <c r="N272" s="7"/>
      <c r="O272" s="18"/>
      <c r="P272" s="7"/>
      <c r="Q272" s="7"/>
      <c r="R272" s="95"/>
    </row>
    <row r="273" spans="1:18" ht="14.4" customHeight="1">
      <c r="A273" s="6"/>
      <c r="B273" s="242">
        <v>45323</v>
      </c>
      <c r="C273" s="260">
        <f t="shared" si="18"/>
        <v>15.434719101666696</v>
      </c>
      <c r="D273" s="231">
        <f>0.444719101666695</f>
        <v>0.44471910166669498</v>
      </c>
      <c r="E273" s="260">
        <v>14.99</v>
      </c>
      <c r="F273" s="209">
        <f t="shared" si="19"/>
        <v>0.39465900692082884</v>
      </c>
      <c r="G273" s="210">
        <f t="shared" si="17"/>
        <v>0.38328773428111174</v>
      </c>
      <c r="H273" s="211">
        <v>39.109000000000002</v>
      </c>
      <c r="I273" s="212">
        <v>3.9158552200166834E-2</v>
      </c>
      <c r="J273" s="213">
        <v>3.4866254381940347E-2</v>
      </c>
      <c r="K273" s="244">
        <f t="shared" si="20"/>
        <v>202.43435772782627</v>
      </c>
      <c r="L273" s="276" t="s">
        <v>99</v>
      </c>
      <c r="M273" s="7"/>
      <c r="N273" s="7"/>
      <c r="O273" s="18"/>
      <c r="P273" s="7"/>
      <c r="Q273" s="7"/>
      <c r="R273" s="95"/>
    </row>
    <row r="274" spans="1:18" ht="14.4" customHeight="1">
      <c r="A274" s="6"/>
      <c r="B274" s="242">
        <v>45352</v>
      </c>
      <c r="C274" s="260">
        <f>E274+D274</f>
        <v>16.136467771275814</v>
      </c>
      <c r="D274" s="231">
        <f>0.446467771275814</f>
        <v>0.446467771275814</v>
      </c>
      <c r="E274" s="260">
        <v>15.69</v>
      </c>
      <c r="F274" s="209">
        <f>C274/H274</f>
        <v>0.41999083239051077</v>
      </c>
      <c r="G274" s="210">
        <f>E274/H274</f>
        <v>0.40837042242523619</v>
      </c>
      <c r="H274" s="211">
        <v>38.420999999999999</v>
      </c>
      <c r="I274" s="212">
        <v>4.0708798207810329E-2</v>
      </c>
      <c r="J274" s="213">
        <v>3.6245651001891595E-2</v>
      </c>
      <c r="K274" s="244">
        <f t="shared" si="20"/>
        <v>203.58112786505814</v>
      </c>
      <c r="L274" s="276" t="s">
        <v>99</v>
      </c>
      <c r="M274" s="7"/>
      <c r="N274" s="7"/>
      <c r="O274" s="18"/>
      <c r="P274" s="7"/>
      <c r="Q274" s="7"/>
      <c r="R274" s="95"/>
    </row>
    <row r="275" spans="1:18" ht="14.4" customHeight="1">
      <c r="A275" s="6"/>
      <c r="B275" s="242">
        <v>45383</v>
      </c>
      <c r="C275" s="260">
        <f t="shared" ref="C275:C289" si="21">E275+D275</f>
        <v>16.291173494065244</v>
      </c>
      <c r="D275" s="231">
        <v>0.45117349406524504</v>
      </c>
      <c r="E275" s="260">
        <v>15.84</v>
      </c>
      <c r="F275" s="209">
        <f t="shared" si="19"/>
        <v>0.42337829709881353</v>
      </c>
      <c r="G275" s="210">
        <f t="shared" si="17"/>
        <v>0.41165310948829231</v>
      </c>
      <c r="H275" s="211">
        <v>38.478999999999999</v>
      </c>
      <c r="I275" s="212">
        <v>4.1577304064527941E-2</v>
      </c>
      <c r="J275" s="213">
        <v>3.6383641863319723E-2</v>
      </c>
      <c r="K275" s="244">
        <f t="shared" si="20"/>
        <v>202.87944312331973</v>
      </c>
      <c r="L275" s="276" t="s">
        <v>99</v>
      </c>
      <c r="M275" s="7"/>
      <c r="N275" s="7"/>
      <c r="O275" s="18"/>
      <c r="P275" s="7"/>
      <c r="Q275" s="7"/>
      <c r="R275" s="95"/>
    </row>
    <row r="276" spans="1:18" ht="14.4" customHeight="1">
      <c r="A276" s="6"/>
      <c r="B276" s="242">
        <v>45413</v>
      </c>
      <c r="C276" s="260">
        <f t="shared" si="21"/>
        <v>16.307808885434902</v>
      </c>
      <c r="D276" s="231">
        <v>0.45780888543490289</v>
      </c>
      <c r="E276" s="260">
        <v>15.85</v>
      </c>
      <c r="F276" s="209">
        <f t="shared" si="19"/>
        <v>0.42340349167709268</v>
      </c>
      <c r="G276" s="210">
        <f t="shared" si="17"/>
        <v>0.41151729151521449</v>
      </c>
      <c r="H276" s="211">
        <v>38.515999999999998</v>
      </c>
      <c r="I276" s="212">
        <v>4.1705038522421134E-2</v>
      </c>
      <c r="J276" s="213">
        <v>3.6336935266778052E-2</v>
      </c>
      <c r="K276" s="244">
        <f t="shared" si="20"/>
        <v>202.8757525198271</v>
      </c>
      <c r="L276" s="276" t="s">
        <v>99</v>
      </c>
      <c r="M276" s="7"/>
      <c r="N276" s="7"/>
      <c r="O276" s="18"/>
      <c r="P276" s="7"/>
      <c r="Q276" s="7"/>
      <c r="R276" s="95"/>
    </row>
    <row r="277" spans="1:18" ht="14.4" customHeight="1">
      <c r="A277" s="6"/>
      <c r="B277" s="242">
        <v>45444</v>
      </c>
      <c r="C277" s="260">
        <f t="shared" si="21"/>
        <v>15.35</v>
      </c>
      <c r="D277" s="231">
        <v>0</v>
      </c>
      <c r="E277" s="260">
        <v>15.35</v>
      </c>
      <c r="F277" s="209">
        <f t="shared" si="19"/>
        <v>0.39090353468473055</v>
      </c>
      <c r="G277" s="210">
        <f t="shared" si="17"/>
        <v>0.39090353468473055</v>
      </c>
      <c r="H277" s="211">
        <v>39.268000000000001</v>
      </c>
      <c r="I277" s="212">
        <v>4.1524812551007546E-2</v>
      </c>
      <c r="J277" s="213">
        <v>3.6280527436353432E-2</v>
      </c>
      <c r="K277" s="244">
        <f t="shared" si="20"/>
        <v>191.54099993368212</v>
      </c>
      <c r="L277" s="247"/>
      <c r="M277" s="7"/>
      <c r="N277" s="7"/>
      <c r="O277" s="18"/>
      <c r="P277" s="7"/>
      <c r="Q277" s="7"/>
      <c r="R277" s="95"/>
    </row>
    <row r="278" spans="1:18" ht="14.4" customHeight="1">
      <c r="A278" s="6"/>
      <c r="B278" s="242">
        <v>45474</v>
      </c>
      <c r="C278" s="260">
        <f t="shared" si="21"/>
        <v>16.048750103626539</v>
      </c>
      <c r="D278" s="231">
        <v>0.69875010362654011</v>
      </c>
      <c r="E278" s="260">
        <v>15.35</v>
      </c>
      <c r="F278" s="209">
        <f t="shared" si="19"/>
        <v>0.39960037108775803</v>
      </c>
      <c r="G278" s="210">
        <f t="shared" si="17"/>
        <v>0.38220208156964297</v>
      </c>
      <c r="H278" s="211">
        <v>40.161999999999999</v>
      </c>
      <c r="I278" s="212">
        <v>3.8876285684415007E-2</v>
      </c>
      <c r="J278" s="213">
        <v>3.5663429757588849E-2</v>
      </c>
      <c r="K278" s="244">
        <f t="shared" si="20"/>
        <v>209.03367671618076</v>
      </c>
      <c r="L278" s="276" t="s">
        <v>98</v>
      </c>
      <c r="M278" s="7"/>
      <c r="N278" s="7"/>
      <c r="O278" s="18"/>
      <c r="P278" s="7"/>
      <c r="Q278" s="7"/>
      <c r="R278" s="95"/>
    </row>
    <row r="279" spans="1:18" s="205" customFormat="1" ht="14.4" customHeight="1">
      <c r="A279" s="200"/>
      <c r="B279" s="242">
        <v>45505</v>
      </c>
      <c r="C279" s="260">
        <f t="shared" si="21"/>
        <v>16.257094942730532</v>
      </c>
      <c r="D279" s="231">
        <f>0.838698726322594+0.0949915635205971+0.0934046528873418</f>
        <v>1.0270949427305329</v>
      </c>
      <c r="E279" s="260">
        <v>15.23</v>
      </c>
      <c r="F279" s="209">
        <f t="shared" si="19"/>
        <v>0.40306180747584003</v>
      </c>
      <c r="G279" s="210">
        <f t="shared" si="17"/>
        <v>0.37759706451133035</v>
      </c>
      <c r="H279" s="211">
        <v>40.334000000000003</v>
      </c>
      <c r="I279" s="212">
        <v>3.8392180159529034E-2</v>
      </c>
      <c r="J279" s="213">
        <v>3.5451462926719302E-2</v>
      </c>
      <c r="K279" s="244">
        <f t="shared" si="20"/>
        <v>213.74334557958286</v>
      </c>
      <c r="L279" s="276" t="s">
        <v>101</v>
      </c>
      <c r="M279" s="202"/>
      <c r="N279" s="202"/>
      <c r="O279" s="203"/>
      <c r="P279" s="202"/>
      <c r="Q279" s="202"/>
      <c r="R279" s="204"/>
    </row>
    <row r="280" spans="1:18" s="205" customFormat="1" ht="14.4" customHeight="1">
      <c r="A280" s="200"/>
      <c r="B280" s="242">
        <v>45536</v>
      </c>
      <c r="C280" s="260">
        <f t="shared" si="21"/>
        <v>16.555598977904481</v>
      </c>
      <c r="D280" s="231">
        <f>0.836159517806744+0.0955175791228022+0.0939218809749354</f>
        <v>1.0255989779044816</v>
      </c>
      <c r="E280" s="260">
        <v>15.53</v>
      </c>
      <c r="F280" s="209">
        <f t="shared" si="19"/>
        <v>0.40281262719962241</v>
      </c>
      <c r="G280" s="210">
        <f t="shared" si="17"/>
        <v>0.37785888077858876</v>
      </c>
      <c r="H280" s="211">
        <v>41.1</v>
      </c>
      <c r="I280" s="212">
        <v>3.826170998141476E-2</v>
      </c>
      <c r="J280" s="213">
        <v>3.5383431538519902E-2</v>
      </c>
      <c r="K280" s="244">
        <f t="shared" si="20"/>
        <v>218.25468366539627</v>
      </c>
      <c r="L280" s="276" t="s">
        <v>101</v>
      </c>
      <c r="M280" s="202"/>
      <c r="N280" s="202"/>
      <c r="O280" s="203"/>
      <c r="P280" s="202"/>
      <c r="Q280" s="202"/>
      <c r="R280" s="204"/>
    </row>
    <row r="281" spans="1:18" s="205" customFormat="1" ht="14.4" customHeight="1">
      <c r="A281" s="200"/>
      <c r="B281" s="242">
        <v>45566</v>
      </c>
      <c r="C281" s="260">
        <f t="shared" si="21"/>
        <v>16.268556828232569</v>
      </c>
      <c r="D281" s="231">
        <f>0.838805682834601+0.0956747344763428+0.0940764109216256</f>
        <v>1.0285568282325694</v>
      </c>
      <c r="E281" s="260">
        <v>15.24</v>
      </c>
      <c r="F281" s="209">
        <f t="shared" si="19"/>
        <v>0.3915416805832147</v>
      </c>
      <c r="G281" s="210">
        <f t="shared" si="17"/>
        <v>0.36678700361010835</v>
      </c>
      <c r="H281" s="211">
        <v>41.55</v>
      </c>
      <c r="I281" s="212">
        <v>3.7466590450104913E-2</v>
      </c>
      <c r="J281" s="213">
        <v>3.4799365700196851E-2</v>
      </c>
      <c r="K281" s="244">
        <f t="shared" si="20"/>
        <v>218.56370839909147</v>
      </c>
      <c r="L281" s="276" t="s">
        <v>101</v>
      </c>
      <c r="M281" s="202"/>
      <c r="N281" s="202"/>
      <c r="O281" s="203"/>
      <c r="P281" s="202"/>
      <c r="Q281" s="202"/>
      <c r="R281" s="204"/>
    </row>
    <row r="282" spans="1:18" s="205" customFormat="1" ht="14.4" customHeight="1">
      <c r="A282" s="200"/>
      <c r="B282" s="242">
        <v>45597</v>
      </c>
      <c r="C282" s="231">
        <f t="shared" si="21"/>
        <v>16.591860867115837</v>
      </c>
      <c r="D282" s="231">
        <f>0.384279556238129+0.0945806786742134+0.0930006322034963</f>
        <v>0.57186086711583872</v>
      </c>
      <c r="E282" s="260">
        <v>16.02</v>
      </c>
      <c r="F282" s="209">
        <f t="shared" ref="F282:F288" si="22">C282/H282</f>
        <v>0.39066329653447857</v>
      </c>
      <c r="G282" s="210">
        <f t="shared" si="17"/>
        <v>0.37719855901674088</v>
      </c>
      <c r="H282" s="211">
        <v>42.470999999999997</v>
      </c>
      <c r="I282" s="212">
        <v>3.7466723295477539E-2</v>
      </c>
      <c r="J282" s="213">
        <v>3.4179323235812006E-2</v>
      </c>
      <c r="K282" s="244">
        <f t="shared" si="20"/>
        <v>224.83589204845512</v>
      </c>
      <c r="L282" s="276" t="s">
        <v>102</v>
      </c>
      <c r="M282" s="202"/>
      <c r="N282" s="202"/>
      <c r="O282" s="203"/>
      <c r="P282" s="202"/>
      <c r="Q282" s="202"/>
      <c r="R282" s="204"/>
    </row>
    <row r="283" spans="1:18" s="205" customFormat="1" ht="14.4" customHeight="1">
      <c r="A283" s="200"/>
      <c r="B283" s="278">
        <v>45627</v>
      </c>
      <c r="C283" s="262">
        <f t="shared" si="21"/>
        <v>17.254154066110118</v>
      </c>
      <c r="D283" s="262">
        <f>0.566933052419144+0.0943990126420995+0.0928220010488745</f>
        <v>0.75415406611011804</v>
      </c>
      <c r="E283" s="301">
        <v>16.5</v>
      </c>
      <c r="F283" s="264">
        <f t="shared" si="22"/>
        <v>0.3920596711152291</v>
      </c>
      <c r="G283" s="265">
        <f t="shared" si="17"/>
        <v>0.37492331114090299</v>
      </c>
      <c r="H283" s="266">
        <v>44.009</v>
      </c>
      <c r="I283" s="267">
        <v>3.8215322853428969E-2</v>
      </c>
      <c r="J283" s="268">
        <v>3.4887538668535875E-2</v>
      </c>
      <c r="K283" s="269">
        <f t="shared" si="20"/>
        <v>229.15116509350361</v>
      </c>
      <c r="L283" s="276" t="s">
        <v>103</v>
      </c>
      <c r="M283" s="202"/>
      <c r="N283" s="202"/>
      <c r="O283" s="203"/>
      <c r="P283" s="202"/>
      <c r="Q283" s="202"/>
      <c r="R283" s="204"/>
    </row>
    <row r="284" spans="1:18" s="205" customFormat="1" ht="14.4" customHeight="1">
      <c r="A284" s="200"/>
      <c r="B284" s="242">
        <v>45658</v>
      </c>
      <c r="C284" s="231">
        <f t="shared" si="21"/>
        <v>18.134875224364666</v>
      </c>
      <c r="D284" s="231">
        <f>0.482523000428033+0.600672949706147+0.0916048031509924+0.0900744710794916</f>
        <v>1.2648752243646642</v>
      </c>
      <c r="E284" s="260">
        <v>16.87</v>
      </c>
      <c r="F284" s="209">
        <f t="shared" si="22"/>
        <v>0.41508068721365682</v>
      </c>
      <c r="G284" s="210">
        <f t="shared" si="17"/>
        <v>0.38612954909590297</v>
      </c>
      <c r="H284" s="211">
        <v>43.69</v>
      </c>
      <c r="I284" s="212">
        <v>3.8773369650315193E-2</v>
      </c>
      <c r="J284" s="213">
        <v>3.5085168773639756E-2</v>
      </c>
      <c r="K284" s="244">
        <f t="shared" si="20"/>
        <v>238.3837448020885</v>
      </c>
      <c r="L284" s="276" t="s">
        <v>104</v>
      </c>
      <c r="M284" s="202"/>
      <c r="N284" s="202"/>
      <c r="O284" s="203"/>
      <c r="P284" s="202"/>
      <c r="Q284" s="202"/>
      <c r="R284" s="204"/>
    </row>
    <row r="285" spans="1:18" s="205" customFormat="1" ht="14.4" customHeight="1">
      <c r="A285" s="200"/>
      <c r="B285" s="242">
        <v>45689</v>
      </c>
      <c r="C285" s="231">
        <f t="shared" si="21"/>
        <v>18.055108499168696</v>
      </c>
      <c r="D285" s="231">
        <f>0.0459622254675677+0.590533709554541+0.0900585322582547+0.0885540318883349</f>
        <v>0.81510849916869821</v>
      </c>
      <c r="E285" s="260">
        <v>17.239999999999998</v>
      </c>
      <c r="F285" s="209">
        <f t="shared" si="22"/>
        <v>0.4187468631669341</v>
      </c>
      <c r="G285" s="210">
        <f t="shared" si="17"/>
        <v>0.39984228958415474</v>
      </c>
      <c r="H285" s="211">
        <v>43.116999999999997</v>
      </c>
      <c r="I285" s="212">
        <v>4.0027431776091062E-2</v>
      </c>
      <c r="J285" s="213">
        <v>3.5620325139941712E-2</v>
      </c>
      <c r="K285" s="244">
        <f t="shared" si="20"/>
        <v>231.72176237886342</v>
      </c>
      <c r="L285" s="276" t="s">
        <v>105</v>
      </c>
      <c r="M285" s="202"/>
      <c r="N285" s="202"/>
      <c r="O285" s="203"/>
      <c r="P285" s="202"/>
      <c r="Q285" s="202"/>
      <c r="R285" s="204"/>
    </row>
    <row r="286" spans="1:18" s="205" customFormat="1" ht="14.4" customHeight="1">
      <c r="A286" s="200"/>
      <c r="B286" s="242">
        <v>45717</v>
      </c>
      <c r="C286" s="231">
        <f t="shared" si="21"/>
        <v>18.381820583265164</v>
      </c>
      <c r="D286" s="231">
        <f>0.592586986026578+0.0903716643663802+0.088861932872205</f>
        <v>0.77182058326516323</v>
      </c>
      <c r="E286" s="260">
        <v>17.61</v>
      </c>
      <c r="F286" s="209">
        <f t="shared" si="22"/>
        <v>0.43485653481737274</v>
      </c>
      <c r="G286" s="210">
        <f t="shared" si="17"/>
        <v>0.41659766743157245</v>
      </c>
      <c r="H286" s="211">
        <v>42.271000000000001</v>
      </c>
      <c r="I286" s="212">
        <v>4.080600372962493E-2</v>
      </c>
      <c r="J286" s="213">
        <v>3.6430504890503493E-2</v>
      </c>
      <c r="K286" s="244">
        <f t="shared" si="20"/>
        <v>231.06207245224908</v>
      </c>
      <c r="L286" s="276" t="s">
        <v>105</v>
      </c>
      <c r="M286" s="202"/>
      <c r="N286" s="202"/>
      <c r="O286" s="203"/>
      <c r="P286" s="202"/>
      <c r="Q286" s="202"/>
      <c r="R286" s="204"/>
    </row>
    <row r="287" spans="1:18" s="205" customFormat="1" ht="14.4" customHeight="1">
      <c r="A287" s="200"/>
      <c r="B287" s="242">
        <v>45748</v>
      </c>
      <c r="C287" s="231">
        <f t="shared" si="21"/>
        <v>18.21962865654822</v>
      </c>
      <c r="D287" s="231">
        <f>0.0262204442502061+0.0924765538336553+0.0909316584643564</f>
        <v>0.2096286565482178</v>
      </c>
      <c r="E287" s="260">
        <v>18.010000000000002</v>
      </c>
      <c r="F287" s="209">
        <f t="shared" si="22"/>
        <v>0.43068335515668066</v>
      </c>
      <c r="G287" s="210">
        <f t="shared" si="17"/>
        <v>0.4257280635400908</v>
      </c>
      <c r="H287" s="211">
        <v>42.304000000000002</v>
      </c>
      <c r="I287" s="212">
        <v>4.1570699189433236E-2</v>
      </c>
      <c r="J287" s="213">
        <v>3.7045818579167521E-2</v>
      </c>
      <c r="K287" s="244">
        <f t="shared" si="20"/>
        <v>225.00309556818544</v>
      </c>
      <c r="L287" s="276" t="s">
        <v>106</v>
      </c>
      <c r="M287" s="202"/>
      <c r="N287" s="202"/>
      <c r="O287" s="203"/>
      <c r="P287" s="202"/>
      <c r="Q287" s="202"/>
      <c r="R287" s="204"/>
    </row>
    <row r="288" spans="1:18" s="205" customFormat="1" ht="14.4" customHeight="1">
      <c r="A288" s="200"/>
      <c r="B288" s="242">
        <v>45778</v>
      </c>
      <c r="C288" s="231">
        <f t="shared" si="21"/>
        <v>17.910545122656139</v>
      </c>
      <c r="D288" s="231">
        <f>0.0171890407223618+0.0974923854061659+0.0958636965276117</f>
        <v>0.21054512265613939</v>
      </c>
      <c r="E288" s="260">
        <v>17.7</v>
      </c>
      <c r="F288" s="209">
        <f t="shared" si="22"/>
        <v>0.4296949552002336</v>
      </c>
      <c r="G288" s="210">
        <f t="shared" si="17"/>
        <v>0.42464373110695258</v>
      </c>
      <c r="H288" s="211">
        <v>41.682000000000002</v>
      </c>
      <c r="I288" s="212">
        <v>4.101702256227148E-2</v>
      </c>
      <c r="J288" s="213">
        <v>3.6300786139431433E-2</v>
      </c>
      <c r="K288" s="244">
        <f t="shared" si="20"/>
        <v>224.90133970231548</v>
      </c>
      <c r="L288" s="276" t="s">
        <v>106</v>
      </c>
      <c r="M288" s="202"/>
      <c r="N288" s="202"/>
      <c r="O288" s="203"/>
      <c r="P288" s="202"/>
      <c r="Q288" s="202"/>
      <c r="R288" s="204"/>
    </row>
    <row r="289" spans="1:18" s="205" customFormat="1" ht="14.4" customHeight="1">
      <c r="A289" s="200"/>
      <c r="B289" s="242">
        <v>45809</v>
      </c>
      <c r="C289" s="231">
        <f t="shared" si="21"/>
        <v>17.823437113366513</v>
      </c>
      <c r="D289" s="231">
        <v>3.4371133665121998E-3</v>
      </c>
      <c r="E289" s="260">
        <v>17.82</v>
      </c>
      <c r="F289" s="209">
        <f t="shared" ref="F289" si="23">C289/H289</f>
        <v>0.43627153065468532</v>
      </c>
      <c r="G289" s="210">
        <f t="shared" ref="G289" si="24">E289/H289</f>
        <v>0.4361873990306947</v>
      </c>
      <c r="H289" s="211">
        <v>40.853999999999999</v>
      </c>
      <c r="I289" s="212">
        <v>4.0772100720218342E-2</v>
      </c>
      <c r="J289" s="213">
        <v>3.6542690432764632E-2</v>
      </c>
      <c r="K289" s="244">
        <f t="shared" si="20"/>
        <v>223.81626618915374</v>
      </c>
      <c r="L289" s="276"/>
      <c r="M289" s="202"/>
      <c r="N289" s="202"/>
      <c r="O289" s="203"/>
      <c r="P289" s="202"/>
      <c r="Q289" s="202"/>
      <c r="R289" s="204"/>
    </row>
    <row r="290" spans="1:18" s="205" customFormat="1" ht="14.4" customHeight="1">
      <c r="A290" s="200"/>
      <c r="B290" s="242">
        <v>45839</v>
      </c>
      <c r="C290" s="307">
        <v>17.492803732989618</v>
      </c>
      <c r="D290" s="307">
        <v>3.6672271520630607E-2</v>
      </c>
      <c r="E290" s="306">
        <v>17.492803732989618</v>
      </c>
      <c r="F290" s="308">
        <v>0.43464701418748736</v>
      </c>
      <c r="G290" s="309">
        <v>0.43464701418748736</v>
      </c>
      <c r="H290" s="310">
        <v>40.246000000000002</v>
      </c>
      <c r="I290" s="311">
        <v>3.9921896980652731E-2</v>
      </c>
      <c r="J290" s="312">
        <v>3.5995425867665826E-2</v>
      </c>
      <c r="K290" s="313">
        <v>223.7078964055132</v>
      </c>
      <c r="L290" s="276"/>
      <c r="M290" s="202"/>
      <c r="N290" s="202"/>
      <c r="O290" s="203"/>
      <c r="P290" s="202"/>
      <c r="Q290" s="202"/>
      <c r="R290" s="204"/>
    </row>
    <row r="291" spans="1:18" s="205" customFormat="1" ht="14.4" customHeight="1">
      <c r="A291" s="200"/>
      <c r="B291" s="242">
        <v>45870</v>
      </c>
      <c r="C291" s="307">
        <v>17.255416625059713</v>
      </c>
      <c r="D291" s="307">
        <v>2.0172130174670733E-2</v>
      </c>
      <c r="E291" s="306">
        <v>17.255416625059713</v>
      </c>
      <c r="F291" s="308">
        <v>0.43092217428913199</v>
      </c>
      <c r="G291" s="309">
        <v>0.43092217428913199</v>
      </c>
      <c r="H291" s="310">
        <v>40.042999999999999</v>
      </c>
      <c r="I291" s="311">
        <v>3.8706597420352519E-2</v>
      </c>
      <c r="J291" s="312">
        <v>3.5939411400485163E-2</v>
      </c>
      <c r="K291" s="313">
        <v>224.430373967143</v>
      </c>
      <c r="L291" s="248"/>
      <c r="M291" s="202"/>
      <c r="N291" s="202"/>
      <c r="O291" s="203"/>
      <c r="P291" s="202"/>
      <c r="Q291" s="202"/>
      <c r="R291" s="204"/>
    </row>
    <row r="292" spans="1:18" s="205" customFormat="1" ht="14.4" customHeight="1">
      <c r="A292" s="200"/>
      <c r="B292" s="278">
        <v>45901</v>
      </c>
      <c r="C292" s="255">
        <v>17.321588822285158</v>
      </c>
      <c r="D292" s="255">
        <v>1.9344958474494831E-2</v>
      </c>
      <c r="E292" s="279">
        <v>17.321588822285158</v>
      </c>
      <c r="F292" s="280">
        <v>0.43336474411521536</v>
      </c>
      <c r="G292" s="281">
        <v>0.43336474411521536</v>
      </c>
      <c r="H292" s="256">
        <v>39.97</v>
      </c>
      <c r="I292" s="257">
        <v>3.8982627379481667E-2</v>
      </c>
      <c r="J292" s="258">
        <v>3.5954927886757138E-2</v>
      </c>
      <c r="K292" s="282">
        <v>224.41453376404644</v>
      </c>
      <c r="L292" s="271"/>
      <c r="M292" s="202"/>
      <c r="N292" s="202"/>
      <c r="O292" s="203"/>
      <c r="P292" s="202"/>
      <c r="Q292" s="202"/>
      <c r="R292" s="204"/>
    </row>
    <row r="293" spans="1:18" s="205" customFormat="1" ht="14.4" customHeight="1">
      <c r="A293" s="200"/>
      <c r="B293" s="272"/>
      <c r="C293" s="260"/>
      <c r="D293" s="260"/>
      <c r="E293" s="260"/>
      <c r="F293" s="201"/>
      <c r="G293" s="201"/>
      <c r="H293" s="260"/>
      <c r="I293" s="273"/>
      <c r="J293" s="273"/>
      <c r="K293" s="260"/>
      <c r="L293" s="271"/>
      <c r="M293" s="202"/>
      <c r="N293" s="202"/>
      <c r="O293" s="203"/>
      <c r="P293" s="202"/>
      <c r="Q293" s="202"/>
      <c r="R293" s="204"/>
    </row>
    <row r="294" spans="1:18" ht="14.4" customHeight="1">
      <c r="A294" s="6"/>
      <c r="B294" s="11" t="s">
        <v>94</v>
      </c>
      <c r="C294" s="15"/>
      <c r="D294" s="15"/>
      <c r="E294" s="194"/>
      <c r="F294" s="15"/>
      <c r="G294" s="15"/>
      <c r="H294" s="15"/>
      <c r="I294" s="15"/>
      <c r="J294" s="15"/>
      <c r="K294" s="15"/>
      <c r="L294" s="15"/>
      <c r="M294" s="15"/>
      <c r="N294" s="15"/>
      <c r="O294" s="18"/>
      <c r="P294" s="7"/>
      <c r="Q294" s="7"/>
      <c r="R294" s="95"/>
    </row>
    <row r="295" spans="1:18" ht="14.4" customHeight="1">
      <c r="A295" s="6"/>
      <c r="B295" s="11" t="s">
        <v>95</v>
      </c>
      <c r="C295" s="15"/>
      <c r="D295" s="15"/>
      <c r="E295" s="194"/>
      <c r="F295" s="15"/>
      <c r="G295" s="15"/>
      <c r="H295" s="15"/>
      <c r="I295" s="15"/>
      <c r="J295" s="15"/>
      <c r="K295" s="15"/>
      <c r="L295" s="15"/>
      <c r="M295" s="15"/>
      <c r="N295" s="15"/>
      <c r="O295" s="18"/>
      <c r="P295" s="7"/>
      <c r="Q295" s="7"/>
      <c r="R295" s="95"/>
    </row>
    <row r="296" spans="1:18" ht="14.4" customHeight="1">
      <c r="A296" s="6"/>
      <c r="B296" s="14" t="s">
        <v>96</v>
      </c>
      <c r="C296" s="15"/>
      <c r="D296" s="15"/>
      <c r="E296" s="194"/>
      <c r="F296" s="15"/>
      <c r="G296" s="15"/>
      <c r="H296" s="15"/>
      <c r="I296" s="15"/>
      <c r="J296" s="15"/>
      <c r="K296" s="15"/>
      <c r="L296" s="15"/>
      <c r="M296" s="15"/>
      <c r="N296" s="15"/>
      <c r="O296" s="18"/>
      <c r="P296" s="7"/>
      <c r="Q296" s="7"/>
      <c r="R296" s="95"/>
    </row>
    <row r="297" spans="1:18" ht="14.4" customHeight="1">
      <c r="A297" s="6"/>
      <c r="B297" s="195"/>
      <c r="C297" s="15"/>
      <c r="D297" s="15"/>
      <c r="E297" s="194"/>
      <c r="F297" s="15"/>
      <c r="G297" s="15"/>
      <c r="H297" s="15"/>
      <c r="I297" s="15"/>
      <c r="J297" s="15"/>
      <c r="K297" s="15"/>
      <c r="L297" s="15"/>
      <c r="M297" s="7"/>
      <c r="N297" s="7"/>
      <c r="O297" s="18"/>
      <c r="P297" s="7"/>
      <c r="Q297" s="7"/>
      <c r="R297" s="95"/>
    </row>
    <row r="298" spans="1:18" ht="15.75" customHeight="1">
      <c r="A298" s="51"/>
      <c r="B298" s="129"/>
      <c r="C298" s="65" t="s">
        <v>22</v>
      </c>
      <c r="D298" s="58"/>
      <c r="E298" s="194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196"/>
    </row>
    <row r="299" spans="1:18" ht="14.4" customHeight="1">
      <c r="A299" s="51"/>
      <c r="B299" s="130"/>
      <c r="C299" s="65" t="s">
        <v>24</v>
      </c>
      <c r="D299" s="58"/>
      <c r="E299" s="194"/>
      <c r="F299" s="58"/>
      <c r="G299" s="58"/>
      <c r="H299" s="58"/>
      <c r="I299" s="58"/>
      <c r="J299" s="58"/>
      <c r="K299" s="58"/>
      <c r="L299" s="58"/>
      <c r="M299" s="58"/>
      <c r="N299" s="67"/>
      <c r="O299" s="7"/>
      <c r="P299" s="58"/>
      <c r="Q299" s="58"/>
      <c r="R299" s="196"/>
    </row>
    <row r="300" spans="1:18" ht="14.4" customHeight="1">
      <c r="A300" s="6"/>
      <c r="B300" s="88"/>
      <c r="C300" s="197"/>
      <c r="D300" s="7"/>
      <c r="E300" s="194"/>
      <c r="F300" s="197"/>
      <c r="G300" s="7"/>
      <c r="H300" s="197"/>
      <c r="I300" s="197"/>
      <c r="J300" s="197"/>
      <c r="K300" s="197"/>
      <c r="L300" s="7"/>
      <c r="M300" s="7"/>
      <c r="N300" s="7"/>
      <c r="O300" s="7"/>
      <c r="P300" s="7"/>
      <c r="Q300" s="7"/>
      <c r="R300" s="95"/>
    </row>
    <row r="301" spans="1:18" ht="14.4" customHeight="1">
      <c r="A301" s="6"/>
      <c r="B301" s="7"/>
      <c r="C301" s="197"/>
      <c r="D301" s="7"/>
      <c r="E301" s="194"/>
      <c r="F301" s="197"/>
      <c r="G301" s="7"/>
      <c r="H301" s="197"/>
      <c r="I301" s="197"/>
      <c r="J301" s="197"/>
      <c r="K301" s="197"/>
      <c r="L301" s="7"/>
      <c r="M301" s="7"/>
      <c r="N301" s="7"/>
      <c r="O301" s="7"/>
      <c r="P301" s="7"/>
      <c r="Q301" s="7"/>
      <c r="R301" s="95"/>
    </row>
    <row r="302" spans="1:18" ht="14.4" customHeight="1">
      <c r="A302" s="90"/>
      <c r="B302" s="91"/>
      <c r="C302" s="198"/>
      <c r="D302" s="91"/>
      <c r="E302" s="91"/>
      <c r="F302" s="198"/>
      <c r="G302" s="91"/>
      <c r="H302" s="198"/>
      <c r="I302" s="198"/>
      <c r="J302" s="198"/>
      <c r="K302" s="198"/>
      <c r="L302" s="91"/>
      <c r="M302" s="91"/>
      <c r="N302" s="91"/>
      <c r="O302" s="91"/>
      <c r="P302" s="91"/>
      <c r="Q302" s="91"/>
      <c r="R302" s="134"/>
    </row>
    <row r="305" spans="3:3" ht="14.4" customHeight="1">
      <c r="C305" s="314"/>
    </row>
    <row r="306" spans="3:3" ht="14.4" customHeight="1">
      <c r="C306" s="314"/>
    </row>
    <row r="307" spans="3:3" ht="14.4" customHeight="1">
      <c r="C307" s="314"/>
    </row>
    <row r="308" spans="3:3" ht="14.4" customHeight="1">
      <c r="C308" s="314"/>
    </row>
    <row r="309" spans="3:3" ht="14.4" customHeight="1">
      <c r="C309" s="314"/>
    </row>
    <row r="310" spans="3:3" ht="14.4" customHeight="1">
      <c r="C310" s="314"/>
    </row>
    <row r="311" spans="3:3" ht="14.4" customHeight="1">
      <c r="C311" s="314"/>
    </row>
    <row r="312" spans="3:3" ht="14.4" customHeight="1">
      <c r="C312" s="314"/>
    </row>
    <row r="313" spans="3:3" ht="14.4" customHeight="1">
      <c r="C313" s="314"/>
    </row>
    <row r="314" spans="3:3" ht="14.4" customHeight="1">
      <c r="C314" s="314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107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709827-9EA1-45DE-AC60-F02E69F7D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2025-10-22T18:22:57Z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