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activeTab="0"/>
  </bookViews>
  <sheets>
    <sheet name="Precio al productor" sheetId="1" r:id="rId1"/>
    <sheet name="Composición-Precio kilo sólidos" sheetId="2" r:id="rId2"/>
    <sheet name="Listado Datos" sheetId="3" r:id="rId3"/>
  </sheets>
  <definedNames>
    <definedName name="_xlnm.Print_Area" localSheetId="0">'Precio al productor'!$B$1:$R$97</definedName>
  </definedNames>
  <calcPr fullCalcOnLoad="1"/>
</workbook>
</file>

<file path=xl/comments2.xml><?xml version="1.0" encoding="utf-8"?>
<comments xmlns="http://schemas.openxmlformats.org/spreadsheetml/2006/main">
  <authors>
    <author>Ana Pedemonte</author>
  </authors>
  <commentList>
    <comment ref="F44" authorId="0">
      <text>
        <r>
          <rPr>
            <b/>
            <sz val="9"/>
            <rFont val="Tahoma"/>
            <family val="2"/>
          </rPr>
          <t>Valor estimado en base al precio por kilo de leche (1 litro = 1,03 kg) dividido los sólidos (grasa y proteína) del mes.</t>
        </r>
      </text>
    </comment>
  </commentList>
</comments>
</file>

<file path=xl/comments3.xml><?xml version="1.0" encoding="utf-8"?>
<comments xmlns="http://schemas.openxmlformats.org/spreadsheetml/2006/main">
  <authors>
    <author>Ana Pedemonte</author>
  </authors>
  <commentList>
    <comment ref="K7" authorId="0">
      <text>
        <r>
          <rPr>
            <b/>
            <sz val="9"/>
            <rFont val="Tahoma"/>
            <family val="2"/>
          </rPr>
          <t>Valor estimado en base al precio por kilo de leche (1 litro = 1,03 kg) dividido los sólidos (grasa y proteína) del mes.</t>
        </r>
      </text>
    </comment>
  </commentList>
</comments>
</file>

<file path=xl/sharedStrings.xml><?xml version="1.0" encoding="utf-8"?>
<sst xmlns="http://schemas.openxmlformats.org/spreadsheetml/2006/main" count="380" uniqueCount="96">
  <si>
    <t>$/lt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</si>
  <si>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</si>
  <si>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</si>
  <si>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</si>
  <si>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</si>
  <si>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</si>
  <si>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</si>
  <si>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</si>
  <si>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</si>
  <si>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</si>
  <si>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</si>
  <si>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</si>
  <si>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</si>
  <si>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Año/Mes</t>
  </si>
  <si>
    <t>Tipo de cambio ($/US$)</t>
  </si>
  <si>
    <t>Acceder al listado de datos</t>
  </si>
  <si>
    <t>Fecha</t>
  </si>
  <si>
    <t>Fuente: BCU (Promedio mensual, dólar billete, interbancario)</t>
  </si>
  <si>
    <t>*: Se determinó el promedio lineal en base a los precios promedios ponderados mensuales con la consideración de las reliquidaciones distribuidas en los meses correspondientes</t>
  </si>
  <si>
    <t>Observaciones</t>
  </si>
  <si>
    <t>set-16</t>
  </si>
  <si>
    <t>Fuente: FFDSAL, declaraciones industrias al Registro de INALE</t>
  </si>
  <si>
    <t xml:space="preserve">Tipo de cambio ($/US$) </t>
  </si>
  <si>
    <t>2017</t>
  </si>
  <si>
    <t>Var.</t>
  </si>
  <si>
    <t>Prom.*</t>
  </si>
  <si>
    <t>Prom. Pond.**</t>
  </si>
  <si>
    <t>Prom.</t>
  </si>
  <si>
    <t>2018</t>
  </si>
  <si>
    <t xml:space="preserve">Contenido de Grasa (%) </t>
  </si>
  <si>
    <t>Variación</t>
  </si>
  <si>
    <t>2015</t>
  </si>
  <si>
    <t>2016</t>
  </si>
  <si>
    <t>Fuente: Informantes calificados</t>
  </si>
  <si>
    <t>(*) Datos estimados en base a datos de informantes calificados; desde 2015, determinados en base a declaraciones de las principales industrias</t>
  </si>
  <si>
    <t>Contenido de Proteína (%)</t>
  </si>
  <si>
    <t>Contenido de Grasa (%)</t>
  </si>
  <si>
    <t>Volver a hoja Precio al productor</t>
  </si>
  <si>
    <t>Volver a hoja Composición-Precio kilo sólidos</t>
  </si>
  <si>
    <t>Precio de la leche al productor, composición y precio por kilo de sólidos</t>
  </si>
  <si>
    <t>Composición de leche datos Estadísticas del Sector DIEA 2002</t>
  </si>
  <si>
    <t>Composición de leche datos Estadísticas del Sector DIEA 2003</t>
  </si>
  <si>
    <t>Composición de leche datos Estadísticas del Sector DIEA 2004</t>
  </si>
  <si>
    <t>Composición de leche datos Estadísticas del Sector DIEA 2005</t>
  </si>
  <si>
    <t>Composición de leche datos Estadísticas del Sector DIEA 2006</t>
  </si>
  <si>
    <t>Composición de leche datos Estadísticas del Sector DIEA 2007</t>
  </si>
  <si>
    <t>Composición de leche datos Estadísticas del Sector DIEA 2008</t>
  </si>
  <si>
    <t>Composición de leche datos Estadísticas del Sector DIEA 2009</t>
  </si>
  <si>
    <t>Composición de leche datos Estadísticas del Sector DIEA 2010</t>
  </si>
  <si>
    <t>Composición de leche datos Estadísticas del Sector DIEA 2011</t>
  </si>
  <si>
    <t>En adelante composición promedio registro industrias INALE</t>
  </si>
  <si>
    <t xml:space="preserve">Composición de leche cruda recibida en planta (*) </t>
  </si>
  <si>
    <t>2019</t>
  </si>
  <si>
    <t>Precio INALE calculado en base a infomación FFDSAL con reliquidaciones en los meses que corresponda.</t>
  </si>
  <si>
    <t>Precio INALE calculado en base la Declaración de las Industrias al INALE (aproximadamente 90% de leche remitida a planta).</t>
  </si>
  <si>
    <t xml:space="preserve">Precio INALE - Calculado en base a información declarada por las industrias en el FFDSAL (aproximadamente el 100% de la leche remitida a planta) </t>
  </si>
  <si>
    <t>Promedio ponderado</t>
  </si>
  <si>
    <t xml:space="preserve">Promedio ponderado </t>
  </si>
  <si>
    <t>2020</t>
  </si>
  <si>
    <t>Incluye reliquidaciones del mes equivalentes a $ 0,66 por litro</t>
  </si>
  <si>
    <t>Incluye reliquidaciones del mes equivalentes a $ 0,63 por litro</t>
  </si>
  <si>
    <t>Incluye reliquidaciones del mes equivalentes a $ 0,73 por litro</t>
  </si>
  <si>
    <t>Incluye reliquidaciones del mes equivalentes a $ 0,71 por litro</t>
  </si>
  <si>
    <t>Precio Productor sin reliquidación (US$/lt) *</t>
  </si>
  <si>
    <t>Precio Productor con reliquidación (US$/lt) *</t>
  </si>
  <si>
    <t>Al mes le corresponde una reliquidación promedio de $ 0,08 por litro.</t>
  </si>
  <si>
    <t>Al mes le corresponde una reliquidación promedio de $ 0,10 por litro.</t>
  </si>
  <si>
    <t>Al mes le corresponde una reliquidación promedio de $ 0,12 por litro.</t>
  </si>
  <si>
    <t>Al mes le corresponde una reliquidación promedio de $ 0,11 por litro.</t>
  </si>
  <si>
    <t>Al mes le corresponde una reliquidación promedio de $ 0,09 por litro.</t>
  </si>
  <si>
    <t>Al mes le corresponde una reliquidación promedio de $ 0,126 por litro.</t>
  </si>
  <si>
    <t>Al mes le corresponde una reliquidación promedio de $ 0,128 por litro.</t>
  </si>
  <si>
    <t>Al mes le corresponde una reliquidación promedio de $ 0,130 por litro.</t>
  </si>
  <si>
    <t>Al mes le corresponde una reliquidación promedio de $ 0,131 por litro.</t>
  </si>
  <si>
    <t>Al mes le corresponde una reliquidación promedio de $ 0,422 por litro.</t>
  </si>
  <si>
    <t>Al mes le corresponde una reliquidación promedio de $ 0,412 por litro.</t>
  </si>
  <si>
    <t>Al mes le corresponde una reliquidación promedio de $ 0,407 por litro.</t>
  </si>
  <si>
    <t>Al mes le corresponde una reliquidación promedio de $ 0,127 por litro.</t>
  </si>
  <si>
    <t>Al mes le corresponde una reliquidación promedio de $ 0,129 por litro.</t>
  </si>
  <si>
    <t>Al mes le corresponde una reliquidación promedio de $ 0,13 por litro.</t>
  </si>
  <si>
    <t>Al mes le corresponde una reliquidación promedio de $ 0,14 por litro.</t>
  </si>
  <si>
    <t>Precio con reliquidación ($/litro)***</t>
  </si>
  <si>
    <t>*: Se determinó como el pago total por la leche a los productores dividido la leche apta recibida total sin reliquidaciones que se cobran en otros meses.</t>
  </si>
  <si>
    <t>***: El precios con reliquidación surge de la suma del precio al productor sin reliquidaciones de meses posteriores y las reliquidaciones correspondientes al mes.</t>
  </si>
  <si>
    <t>Precio Productor sin reliquidaciones de otro mes ($/lt) *</t>
  </si>
  <si>
    <t>Reliquidaciones del mes ($/litro)**</t>
  </si>
  <si>
    <t>**: Las reliquidaciones que se incluyen corresponden a pagos realizados en meses posteriores que se corresponden con la leche producida en cada mes. Se calculan en base a Declaraciones de las Industrias al INALE (90% de la leche)</t>
  </si>
  <si>
    <t>Precio Productor con reliquidación ($/ kg sólidos)</t>
  </si>
  <si>
    <t xml:space="preserve">Precio kilo de sólidos con reliquidaciones ($/kilo) </t>
  </si>
  <si>
    <t>Los cuadros 3 y 4 tienen el precio sin reliquidaciones correspondientes a otros meses.</t>
  </si>
  <si>
    <t>2- Precio Productor con reliquidaciones atribuibles al mes (US$/lt)*</t>
  </si>
  <si>
    <t>4- Precio Productor sin reliquidaciones atribuibles al mes (US$/lt)*</t>
  </si>
  <si>
    <t>En los cuadros 1 y 2 se presentan los valores pagados en promedio incluyendo reliquidaciones efectuadas en  otros meses correspondientes al mes presentado.</t>
  </si>
  <si>
    <t>2021</t>
  </si>
  <si>
    <t>3- Precio Productor sin reliquidaciones atribuibles al mes ($/lt)*</t>
  </si>
  <si>
    <t xml:space="preserve">1- Precio Productor con reliquidaciones atribuibles al mes ($/lt)* 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</si>
</sst>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\ #,##0_);\(&quot;$&quot;\ #,##0\)"/>
    <numFmt numFmtId="167" formatCode="&quot;$&quot;\ #,##0_);[Red]\(&quot;$&quot;\ #,##0\)"/>
    <numFmt numFmtId="168" formatCode="&quot;$&quot;\ #,##0.00_);\(&quot;$&quot;\ #,##0.00\)"/>
    <numFmt numFmtId="169" formatCode="&quot;$&quot;\ #,##0.00_);[Red]\(&quot;$&quot;\ #,##0.00\)"/>
    <numFmt numFmtId="170" formatCode="_(&quot;$&quot;\ * #,##0_);_(&quot;$&quot;\ * \(#,##0\);_(&quot;$&quot;\ * &quot;-&quot;_);_(@_)"/>
    <numFmt numFmtId="171" formatCode="_(* #,##0_);_(* \(#,##0\);_(* &quot;-&quot;_);_(@_)"/>
    <numFmt numFmtId="172" formatCode="_(&quot;$&quot;\ * #,##0.00_);_(&quot;$&quot;\ * \(#,##0.00\);_(&quot;$&quot;\ * &quot;-&quot;??_);_(@_)"/>
    <numFmt numFmtId="173" formatCode="_(* #,##0.00_);_(* \(#,##0.00\);_(* &quot;-&quot;??_);_(@_)"/>
    <numFmt numFmtId="174" formatCode="&quot;$&quot;\ #,##0;\-&quot;$&quot;\ #,##0"/>
    <numFmt numFmtId="175" formatCode="&quot;$&quot;\ #,##0;[Red]\-&quot;$&quot;\ #,##0"/>
    <numFmt numFmtId="176" formatCode="&quot;$&quot;\ #,##0.00;\-&quot;$&quot;\ #,##0.00"/>
    <numFmt numFmtId="177" formatCode="&quot;$&quot;\ #,##0.00;[Red]\-&quot;$&quot;\ #,##0.00"/>
    <numFmt numFmtId="178" formatCode="_-&quot;$&quot;\ * #,##0_-;\-&quot;$&quot;\ * #,##0_-;_-&quot;$&quot;\ * &quot;-&quot;_-;_-@_-"/>
    <numFmt numFmtId="179" formatCode="_-&quot;$&quot;\ * #,##0.00_-;\-&quot;$&quot;\ * #,##0.00_-;_-&quot;$&quot;\ * &quot;-&quot;??_-;_-@_-"/>
    <numFmt numFmtId="180" formatCode="&quot;$U&quot;\ #,##0_);\(&quot;$U&quot;\ #,##0\)"/>
    <numFmt numFmtId="181" formatCode="&quot;$U&quot;\ #,##0_);[Red]\(&quot;$U&quot;\ #,##0\)"/>
    <numFmt numFmtId="182" formatCode="&quot;$U&quot;\ #,##0.00_);\(&quot;$U&quot;\ #,##0.00\)"/>
    <numFmt numFmtId="183" formatCode="&quot;$U&quot;\ #,##0.00_);[Red]\(&quot;$U&quot;\ #,##0.00\)"/>
    <numFmt numFmtId="184" formatCode="_(&quot;$U&quot;\ * #,##0_);_(&quot;$U&quot;\ * \(#,##0\);_(&quot;$U&quot;\ * &quot;-&quot;_);_(@_)"/>
    <numFmt numFmtId="185" formatCode="_(&quot;$U&quot;\ * #,##0.00_);_(&quot;$U&quot;\ * \(#,##0.00\);_(&quot;$U&quot;\ * &quot;-&quot;??_);_(@_)"/>
    <numFmt numFmtId="186" formatCode="#,"/>
    <numFmt numFmtId="187" formatCode="0.000"/>
    <numFmt numFmtId="188" formatCode="_ [$€-2]\ * #,##0.00_ ;_ [$€-2]\ * \-#,##0.00_ ;_ [$€-2]\ * &quot;-&quot;??_ "/>
    <numFmt numFmtId="189" formatCode="0.0"/>
    <numFmt numFmtId="190" formatCode="0.000000"/>
    <numFmt numFmtId="191" formatCode="0.00000"/>
    <numFmt numFmtId="192" formatCode="0.0000"/>
    <numFmt numFmtId="193" formatCode="#,##0.0"/>
    <numFmt numFmtId="194" formatCode="#,##0.000"/>
    <numFmt numFmtId="195" formatCode="0.00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_(* #,##0_);_(* \(#,##0\);_(* &quot;-&quot;??_);_(@_)"/>
    <numFmt numFmtId="201" formatCode="_(* #,##0.0_);_(* \(#,##0.0\);_(* &quot;-&quot;??_);_(@_)"/>
    <numFmt numFmtId="202" formatCode="0.0%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0.0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0"/>
      <color theme="3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>
      <alignment/>
      <protection/>
    </xf>
    <xf numFmtId="0" fontId="41" fillId="0" borderId="0">
      <alignment/>
      <protection/>
    </xf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30" borderId="1" applyNumberFormat="0" applyAlignment="0" applyProtection="0"/>
    <xf numFmtId="188" fontId="2" fillId="0" borderId="0" applyFont="0" applyFill="0" applyBorder="0" applyAlignment="0" applyProtection="0"/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50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7" applyNumberFormat="0" applyAlignment="0" applyProtection="0"/>
    <xf numFmtId="0" fontId="52" fillId="0" borderId="0">
      <alignment horizontal="left" indent="1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43" fillId="0" borderId="9" applyNumberFormat="0" applyFill="0" applyAlignment="0" applyProtection="0"/>
    <xf numFmtId="0" fontId="57" fillId="34" borderId="0">
      <alignment horizontal="center" vertical="center"/>
      <protection/>
    </xf>
    <xf numFmtId="17" fontId="58" fillId="34" borderId="0">
      <alignment/>
      <protection/>
    </xf>
    <xf numFmtId="0" fontId="48" fillId="23" borderId="0">
      <alignment horizontal="left"/>
      <protection/>
    </xf>
    <xf numFmtId="0" fontId="59" fillId="0" borderId="10" applyNumberFormat="0" applyFill="0" applyAlignment="0" applyProtection="0"/>
  </cellStyleXfs>
  <cellXfs count="296">
    <xf numFmtId="0" fontId="0" fillId="0" borderId="0" xfId="0" applyFont="1" applyAlignment="1">
      <alignment/>
    </xf>
    <xf numFmtId="18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3" xfId="0" applyFont="1" applyBorder="1" applyAlignment="1">
      <alignment/>
    </xf>
    <xf numFmtId="9" fontId="59" fillId="0" borderId="13" xfId="72" applyFont="1" applyBorder="1" applyAlignment="1">
      <alignment/>
    </xf>
    <xf numFmtId="0" fontId="59" fillId="0" borderId="14" xfId="0" applyFont="1" applyBorder="1" applyAlignment="1">
      <alignment/>
    </xf>
    <xf numFmtId="2" fontId="59" fillId="0" borderId="15" xfId="0" applyNumberFormat="1" applyFont="1" applyBorder="1" applyAlignment="1">
      <alignment/>
    </xf>
    <xf numFmtId="187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Alignment="1">
      <alignment/>
    </xf>
    <xf numFmtId="2" fontId="59" fillId="0" borderId="0" xfId="0" applyNumberFormat="1" applyFont="1" applyAlignment="1">
      <alignment/>
    </xf>
    <xf numFmtId="0" fontId="60" fillId="0" borderId="0" xfId="0" applyFont="1" applyAlignment="1">
      <alignment/>
    </xf>
    <xf numFmtId="2" fontId="0" fillId="0" borderId="18" xfId="0" applyNumberFormat="1" applyBorder="1" applyAlignment="1">
      <alignment horizontal="center"/>
    </xf>
    <xf numFmtId="0" fontId="45" fillId="0" borderId="0" xfId="56" applyAlignment="1" applyProtection="1">
      <alignment/>
      <protection/>
    </xf>
    <xf numFmtId="200" fontId="0" fillId="0" borderId="0" xfId="60" applyNumberFormat="1" applyAlignment="1">
      <alignment/>
    </xf>
    <xf numFmtId="2" fontId="0" fillId="0" borderId="0" xfId="0" applyNumberFormat="1" applyAlignment="1">
      <alignment/>
    </xf>
    <xf numFmtId="0" fontId="59" fillId="0" borderId="0" xfId="0" applyFont="1" applyAlignment="1">
      <alignment wrapText="1"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200" fontId="59" fillId="0" borderId="19" xfId="60" applyNumberFormat="1" applyFont="1" applyBorder="1" applyAlignment="1">
      <alignment horizontal="center" vertical="center" wrapText="1"/>
    </xf>
    <xf numFmtId="9" fontId="59" fillId="0" borderId="20" xfId="72" applyFont="1" applyBorder="1" applyAlignment="1">
      <alignment/>
    </xf>
    <xf numFmtId="2" fontId="0" fillId="0" borderId="0" xfId="0" applyNumberFormat="1" applyAlignment="1">
      <alignment/>
    </xf>
    <xf numFmtId="9" fontId="0" fillId="0" borderId="0" xfId="72" applyAlignment="1">
      <alignment/>
    </xf>
    <xf numFmtId="49" fontId="6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9" fillId="0" borderId="21" xfId="0" applyNumberFormat="1" applyFont="1" applyBorder="1" applyAlignment="1">
      <alignment/>
    </xf>
    <xf numFmtId="49" fontId="59" fillId="0" borderId="22" xfId="0" applyNumberFormat="1" applyFont="1" applyBorder="1" applyAlignment="1">
      <alignment/>
    </xf>
    <xf numFmtId="17" fontId="0" fillId="0" borderId="23" xfId="0" applyNumberFormat="1" applyBorder="1" applyAlignment="1">
      <alignment horizontal="center"/>
    </xf>
    <xf numFmtId="9" fontId="0" fillId="0" borderId="0" xfId="72" applyAlignment="1">
      <alignment/>
    </xf>
    <xf numFmtId="2" fontId="0" fillId="0" borderId="0" xfId="0" applyNumberFormat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Alignment="1">
      <alignment/>
    </xf>
    <xf numFmtId="17" fontId="0" fillId="0" borderId="24" xfId="0" applyNumberFormat="1" applyBorder="1" applyAlignment="1">
      <alignment horizontal="center"/>
    </xf>
    <xf numFmtId="9" fontId="0" fillId="0" borderId="0" xfId="72" applyAlignment="1">
      <alignment/>
    </xf>
    <xf numFmtId="2" fontId="60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200" fontId="45" fillId="0" borderId="0" xfId="56" applyNumberFormat="1" applyAlignment="1" applyProtection="1">
      <alignment horizontal="left"/>
      <protection/>
    </xf>
    <xf numFmtId="2" fontId="0" fillId="0" borderId="25" xfId="60" applyNumberFormat="1" applyBorder="1" applyAlignment="1">
      <alignment horizontal="left"/>
    </xf>
    <xf numFmtId="2" fontId="0" fillId="0" borderId="19" xfId="0" applyNumberFormat="1" applyBorder="1" applyAlignment="1">
      <alignment horizontal="left"/>
    </xf>
    <xf numFmtId="2" fontId="0" fillId="0" borderId="25" xfId="0" applyNumberFormat="1" applyBorder="1" applyAlignment="1">
      <alignment horizontal="left"/>
    </xf>
    <xf numFmtId="2" fontId="0" fillId="0" borderId="26" xfId="0" applyNumberFormat="1" applyBorder="1" applyAlignment="1">
      <alignment horizontal="left"/>
    </xf>
    <xf numFmtId="2" fontId="0" fillId="35" borderId="27" xfId="0" applyNumberFormat="1" applyFill="1" applyBorder="1" applyAlignment="1">
      <alignment/>
    </xf>
    <xf numFmtId="200" fontId="0" fillId="0" borderId="0" xfId="60" applyNumberFormat="1" applyAlignment="1">
      <alignment/>
    </xf>
    <xf numFmtId="0" fontId="0" fillId="0" borderId="0" xfId="0" applyAlignment="1">
      <alignment horizontal="left"/>
    </xf>
    <xf numFmtId="2" fontId="0" fillId="35" borderId="0" xfId="0" applyNumberFormat="1" applyFill="1" applyAlignment="1">
      <alignment horizontal="center"/>
    </xf>
    <xf numFmtId="2" fontId="59" fillId="0" borderId="28" xfId="0" applyNumberFormat="1" applyFont="1" applyBorder="1" applyAlignment="1">
      <alignment/>
    </xf>
    <xf numFmtId="0" fontId="60" fillId="0" borderId="0" xfId="0" applyFont="1" applyAlignment="1">
      <alignment horizontal="left"/>
    </xf>
    <xf numFmtId="0" fontId="0" fillId="0" borderId="0" xfId="0" applyAlignment="1">
      <alignment wrapText="1"/>
    </xf>
    <xf numFmtId="0" fontId="59" fillId="0" borderId="11" xfId="0" applyFont="1" applyBorder="1" applyAlignment="1">
      <alignment wrapText="1"/>
    </xf>
    <xf numFmtId="0" fontId="59" fillId="0" borderId="14" xfId="0" applyFont="1" applyBorder="1" applyAlignment="1">
      <alignment wrapText="1"/>
    </xf>
    <xf numFmtId="0" fontId="59" fillId="0" borderId="12" xfId="0" applyFont="1" applyBorder="1" applyAlignment="1">
      <alignment wrapText="1"/>
    </xf>
    <xf numFmtId="49" fontId="61" fillId="0" borderId="29" xfId="0" applyNumberFormat="1" applyFont="1" applyBorder="1" applyAlignment="1">
      <alignment wrapText="1"/>
    </xf>
    <xf numFmtId="49" fontId="60" fillId="0" borderId="27" xfId="0" applyNumberFormat="1" applyFont="1" applyBorder="1" applyAlignment="1">
      <alignment/>
    </xf>
    <xf numFmtId="0" fontId="60" fillId="0" borderId="0" xfId="0" applyFont="1" applyAlignment="1">
      <alignment/>
    </xf>
    <xf numFmtId="0" fontId="60" fillId="0" borderId="30" xfId="0" applyFont="1" applyBorder="1" applyAlignment="1">
      <alignment/>
    </xf>
    <xf numFmtId="0" fontId="60" fillId="0" borderId="31" xfId="0" applyFont="1" applyBorder="1" applyAlignment="1">
      <alignment/>
    </xf>
    <xf numFmtId="0" fontId="60" fillId="0" borderId="26" xfId="0" applyFont="1" applyBorder="1" applyAlignment="1">
      <alignment/>
    </xf>
    <xf numFmtId="0" fontId="0" fillId="0" borderId="0" xfId="0" applyAlignment="1">
      <alignment/>
    </xf>
    <xf numFmtId="202" fontId="0" fillId="0" borderId="0" xfId="72" applyNumberFormat="1" applyAlignment="1">
      <alignment/>
    </xf>
    <xf numFmtId="49" fontId="60" fillId="13" borderId="27" xfId="0" applyNumberFormat="1" applyFont="1" applyFill="1" applyBorder="1" applyAlignment="1">
      <alignment/>
    </xf>
    <xf numFmtId="9" fontId="0" fillId="0" borderId="0" xfId="72" applyAlignment="1">
      <alignment/>
    </xf>
    <xf numFmtId="202" fontId="0" fillId="0" borderId="0" xfId="72" applyNumberFormat="1" applyAlignment="1">
      <alignment/>
    </xf>
    <xf numFmtId="49" fontId="59" fillId="0" borderId="29" xfId="0" applyNumberFormat="1" applyFont="1" applyBorder="1" applyAlignment="1">
      <alignment/>
    </xf>
    <xf numFmtId="10" fontId="0" fillId="0" borderId="15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0" fontId="59" fillId="0" borderId="15" xfId="72" applyNumberFormat="1" applyFont="1" applyBorder="1" applyAlignment="1">
      <alignment/>
    </xf>
    <xf numFmtId="187" fontId="0" fillId="0" borderId="0" xfId="0" applyNumberFormat="1" applyAlignment="1">
      <alignment/>
    </xf>
    <xf numFmtId="9" fontId="59" fillId="0" borderId="0" xfId="72" applyFont="1" applyAlignment="1">
      <alignment/>
    </xf>
    <xf numFmtId="10" fontId="0" fillId="0" borderId="15" xfId="72" applyNumberFormat="1" applyBorder="1" applyAlignment="1">
      <alignment horizontal="center"/>
    </xf>
    <xf numFmtId="10" fontId="0" fillId="0" borderId="0" xfId="72" applyNumberFormat="1" applyAlignment="1">
      <alignment horizontal="center"/>
    </xf>
    <xf numFmtId="189" fontId="59" fillId="0" borderId="0" xfId="0" applyNumberFormat="1" applyFont="1" applyAlignment="1">
      <alignment/>
    </xf>
    <xf numFmtId="49" fontId="59" fillId="0" borderId="32" xfId="0" applyNumberFormat="1" applyFont="1" applyBorder="1" applyAlignment="1">
      <alignment/>
    </xf>
    <xf numFmtId="189" fontId="59" fillId="0" borderId="18" xfId="0" applyNumberFormat="1" applyFont="1" applyBorder="1" applyAlignment="1">
      <alignment/>
    </xf>
    <xf numFmtId="0" fontId="59" fillId="0" borderId="17" xfId="0" applyFont="1" applyBorder="1" applyAlignment="1">
      <alignment/>
    </xf>
    <xf numFmtId="189" fontId="0" fillId="0" borderId="16" xfId="0" applyNumberFormat="1" applyBorder="1" applyAlignment="1">
      <alignment horizontal="center"/>
    </xf>
    <xf numFmtId="189" fontId="0" fillId="0" borderId="17" xfId="0" applyNumberFormat="1" applyBorder="1" applyAlignment="1">
      <alignment horizontal="center"/>
    </xf>
    <xf numFmtId="189" fontId="0" fillId="0" borderId="33" xfId="0" applyNumberFormat="1" applyBorder="1" applyAlignment="1">
      <alignment horizontal="center"/>
    </xf>
    <xf numFmtId="189" fontId="0" fillId="0" borderId="15" xfId="0" applyNumberForma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0" fillId="0" borderId="13" xfId="0" applyNumberFormat="1" applyBorder="1" applyAlignment="1">
      <alignment horizontal="center"/>
    </xf>
    <xf numFmtId="189" fontId="0" fillId="0" borderId="15" xfId="0" applyNumberForma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0" fillId="0" borderId="13" xfId="0" applyNumberFormat="1" applyBorder="1" applyAlignment="1">
      <alignment horizontal="center"/>
    </xf>
    <xf numFmtId="2" fontId="0" fillId="0" borderId="19" xfId="60" applyNumberFormat="1" applyBorder="1" applyAlignment="1">
      <alignment horizontal="left"/>
    </xf>
    <xf numFmtId="189" fontId="0" fillId="35" borderId="0" xfId="0" applyNumberFormat="1" applyFill="1" applyAlignment="1">
      <alignment horizontal="center"/>
    </xf>
    <xf numFmtId="2" fontId="0" fillId="35" borderId="13" xfId="0" applyNumberFormat="1" applyFill="1" applyBorder="1" applyAlignment="1">
      <alignment horizontal="center"/>
    </xf>
    <xf numFmtId="189" fontId="59" fillId="0" borderId="0" xfId="0" applyNumberFormat="1" applyFont="1" applyAlignment="1">
      <alignment/>
    </xf>
    <xf numFmtId="49" fontId="59" fillId="0" borderId="21" xfId="0" applyNumberFormat="1" applyFont="1" applyBorder="1" applyAlignment="1">
      <alignment/>
    </xf>
    <xf numFmtId="189" fontId="0" fillId="35" borderId="15" xfId="0" applyNumberFormat="1" applyFill="1" applyBorder="1" applyAlignment="1">
      <alignment horizontal="center"/>
    </xf>
    <xf numFmtId="9" fontId="59" fillId="0" borderId="13" xfId="72" applyFont="1" applyBorder="1" applyAlignment="1">
      <alignment/>
    </xf>
    <xf numFmtId="2" fontId="0" fillId="35" borderId="15" xfId="0" applyNumberFormat="1" applyFill="1" applyBorder="1" applyAlignment="1">
      <alignment horizontal="center"/>
    </xf>
    <xf numFmtId="10" fontId="0" fillId="0" borderId="28" xfId="72" applyNumberFormat="1" applyBorder="1" applyAlignment="1">
      <alignment horizontal="center"/>
    </xf>
    <xf numFmtId="2" fontId="59" fillId="0" borderId="15" xfId="0" applyNumberFormat="1" applyFont="1" applyBorder="1" applyAlignment="1">
      <alignment/>
    </xf>
    <xf numFmtId="2" fontId="0" fillId="0" borderId="28" xfId="0" applyNumberFormat="1" applyBorder="1" applyAlignment="1">
      <alignment horizontal="center"/>
    </xf>
    <xf numFmtId="9" fontId="0" fillId="0" borderId="0" xfId="72" applyAlignment="1">
      <alignment/>
    </xf>
    <xf numFmtId="10" fontId="0" fillId="0" borderId="18" xfId="72" applyNumberFormat="1" applyBorder="1" applyAlignment="1">
      <alignment horizontal="center"/>
    </xf>
    <xf numFmtId="9" fontId="0" fillId="0" borderId="0" xfId="72" applyFont="1" applyAlignment="1">
      <alignment/>
    </xf>
    <xf numFmtId="0" fontId="0" fillId="0" borderId="0" xfId="0" applyFill="1" applyAlignment="1">
      <alignment/>
    </xf>
    <xf numFmtId="10" fontId="0" fillId="0" borderId="0" xfId="72" applyNumberFormat="1" applyAlignment="1">
      <alignment/>
    </xf>
    <xf numFmtId="10" fontId="60" fillId="0" borderId="0" xfId="72" applyNumberFormat="1" applyFont="1" applyAlignment="1">
      <alignment horizontal="left"/>
    </xf>
    <xf numFmtId="2" fontId="60" fillId="0" borderId="25" xfId="0" applyNumberFormat="1" applyFont="1" applyBorder="1" applyAlignment="1">
      <alignment horizontal="left"/>
    </xf>
    <xf numFmtId="2" fontId="60" fillId="0" borderId="19" xfId="0" applyNumberFormat="1" applyFont="1" applyBorder="1" applyAlignment="1">
      <alignment horizontal="left"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/>
    </xf>
    <xf numFmtId="189" fontId="0" fillId="0" borderId="18" xfId="0" applyNumberFormat="1" applyFill="1" applyBorder="1" applyAlignment="1">
      <alignment horizontal="center"/>
    </xf>
    <xf numFmtId="10" fontId="0" fillId="0" borderId="20" xfId="72" applyNumberFormat="1" applyFont="1" applyBorder="1" applyAlignment="1">
      <alignment horizontal="center"/>
    </xf>
    <xf numFmtId="10" fontId="59" fillId="0" borderId="18" xfId="72" applyNumberFormat="1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9" fontId="0" fillId="0" borderId="0" xfId="72" applyFont="1" applyAlignment="1">
      <alignment/>
    </xf>
    <xf numFmtId="189" fontId="0" fillId="0" borderId="15" xfId="0" applyNumberFormat="1" applyFill="1" applyBorder="1" applyAlignment="1">
      <alignment horizontal="center"/>
    </xf>
    <xf numFmtId="200" fontId="62" fillId="0" borderId="14" xfId="60" applyNumberFormat="1" applyFont="1" applyBorder="1" applyAlignment="1">
      <alignment/>
    </xf>
    <xf numFmtId="200" fontId="62" fillId="0" borderId="11" xfId="60" applyNumberFormat="1" applyFont="1" applyBorder="1" applyAlignment="1">
      <alignment/>
    </xf>
    <xf numFmtId="200" fontId="62" fillId="0" borderId="12" xfId="60" applyNumberFormat="1" applyFont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59" fillId="0" borderId="16" xfId="0" applyFont="1" applyBorder="1" applyAlignment="1">
      <alignment horizontal="center" vertical="center" wrapText="1"/>
    </xf>
    <xf numFmtId="0" fontId="59" fillId="0" borderId="23" xfId="0" applyFont="1" applyBorder="1" applyAlignment="1">
      <alignment vertical="center" wrapText="1"/>
    </xf>
    <xf numFmtId="17" fontId="0" fillId="0" borderId="30" xfId="0" applyNumberFormat="1" applyBorder="1" applyAlignment="1">
      <alignment horizontal="center"/>
    </xf>
    <xf numFmtId="0" fontId="59" fillId="0" borderId="17" xfId="0" applyFont="1" applyBorder="1" applyAlignment="1">
      <alignment horizontal="center" vertical="center" wrapText="1"/>
    </xf>
    <xf numFmtId="200" fontId="59" fillId="0" borderId="22" xfId="60" applyNumberFormat="1" applyFont="1" applyBorder="1" applyAlignment="1">
      <alignment horizontal="center" vertical="center" wrapText="1"/>
    </xf>
    <xf numFmtId="2" fontId="0" fillId="0" borderId="34" xfId="60" applyNumberFormat="1" applyBorder="1" applyAlignment="1">
      <alignment/>
    </xf>
    <xf numFmtId="2" fontId="0" fillId="0" borderId="21" xfId="6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34" xfId="0" applyNumberFormat="1" applyFill="1" applyBorder="1" applyAlignment="1">
      <alignment horizontal="right"/>
    </xf>
    <xf numFmtId="2" fontId="0" fillId="0" borderId="21" xfId="0" applyNumberFormat="1" applyFill="1" applyBorder="1" applyAlignment="1">
      <alignment horizontal="right"/>
    </xf>
    <xf numFmtId="2" fontId="0" fillId="0" borderId="21" xfId="0" applyNumberFormat="1" applyFill="1" applyBorder="1" applyAlignment="1">
      <alignment/>
    </xf>
    <xf numFmtId="0" fontId="59" fillId="0" borderId="36" xfId="0" applyFont="1" applyBorder="1" applyAlignment="1">
      <alignment horizontal="center" vertical="center" wrapText="1"/>
    </xf>
    <xf numFmtId="10" fontId="0" fillId="0" borderId="37" xfId="72" applyNumberFormat="1" applyBorder="1" applyAlignment="1">
      <alignment/>
    </xf>
    <xf numFmtId="10" fontId="0" fillId="0" borderId="38" xfId="72" applyNumberFormat="1" applyBorder="1" applyAlignment="1">
      <alignment/>
    </xf>
    <xf numFmtId="10" fontId="0" fillId="0" borderId="39" xfId="72" applyNumberFormat="1" applyBorder="1" applyAlignment="1">
      <alignment/>
    </xf>
    <xf numFmtId="10" fontId="0" fillId="0" borderId="13" xfId="72" applyNumberFormat="1" applyBorder="1" applyAlignment="1">
      <alignment/>
    </xf>
    <xf numFmtId="10" fontId="0" fillId="0" borderId="40" xfId="72" applyNumberFormat="1" applyBorder="1" applyAlignment="1">
      <alignment/>
    </xf>
    <xf numFmtId="10" fontId="0" fillId="0" borderId="41" xfId="72" applyNumberFormat="1" applyBorder="1" applyAlignment="1">
      <alignment/>
    </xf>
    <xf numFmtId="10" fontId="0" fillId="0" borderId="42" xfId="72" applyNumberFormat="1" applyBorder="1" applyAlignment="1">
      <alignment/>
    </xf>
    <xf numFmtId="10" fontId="0" fillId="0" borderId="43" xfId="72" applyNumberFormat="1" applyBorder="1" applyAlignment="1">
      <alignment/>
    </xf>
    <xf numFmtId="10" fontId="0" fillId="0" borderId="15" xfId="72" applyNumberFormat="1" applyBorder="1" applyAlignment="1">
      <alignment/>
    </xf>
    <xf numFmtId="10" fontId="0" fillId="0" borderId="44" xfId="72" applyNumberFormat="1" applyBorder="1" applyAlignment="1">
      <alignment/>
    </xf>
    <xf numFmtId="10" fontId="0" fillId="0" borderId="45" xfId="72" applyNumberFormat="1" applyBorder="1" applyAlignment="1">
      <alignment/>
    </xf>
    <xf numFmtId="10" fontId="0" fillId="0" borderId="46" xfId="72" applyNumberFormat="1" applyBorder="1" applyAlignment="1">
      <alignment/>
    </xf>
    <xf numFmtId="10" fontId="0" fillId="0" borderId="42" xfId="72" applyNumberFormat="1" applyFill="1" applyBorder="1" applyAlignment="1">
      <alignment/>
    </xf>
    <xf numFmtId="10" fontId="0" fillId="0" borderId="43" xfId="72" applyNumberFormat="1" applyFill="1" applyBorder="1" applyAlignment="1">
      <alignment/>
    </xf>
    <xf numFmtId="10" fontId="0" fillId="0" borderId="15" xfId="72" applyNumberFormat="1" applyFill="1" applyBorder="1" applyAlignment="1">
      <alignment/>
    </xf>
    <xf numFmtId="10" fontId="0" fillId="0" borderId="44" xfId="72" applyNumberFormat="1" applyFill="1" applyBorder="1" applyAlignment="1">
      <alignment/>
    </xf>
    <xf numFmtId="2" fontId="33" fillId="0" borderId="25" xfId="0" applyNumberFormat="1" applyFont="1" applyFill="1" applyBorder="1" applyAlignment="1">
      <alignment horizontal="left"/>
    </xf>
    <xf numFmtId="2" fontId="33" fillId="0" borderId="26" xfId="0" applyNumberFormat="1" applyFont="1" applyFill="1" applyBorder="1" applyAlignment="1">
      <alignment horizontal="left"/>
    </xf>
    <xf numFmtId="189" fontId="0" fillId="0" borderId="34" xfId="0" applyNumberFormat="1" applyBorder="1" applyAlignment="1">
      <alignment/>
    </xf>
    <xf numFmtId="189" fontId="0" fillId="0" borderId="21" xfId="0" applyNumberFormat="1" applyBorder="1" applyAlignment="1">
      <alignment/>
    </xf>
    <xf numFmtId="189" fontId="0" fillId="0" borderId="35" xfId="0" applyNumberFormat="1" applyBorder="1" applyAlignment="1">
      <alignment/>
    </xf>
    <xf numFmtId="17" fontId="0" fillId="0" borderId="24" xfId="0" applyNumberFormat="1" applyFill="1" applyBorder="1" applyAlignment="1">
      <alignment horizontal="center"/>
    </xf>
    <xf numFmtId="189" fontId="0" fillId="0" borderId="21" xfId="0" applyNumberFormat="1" applyFill="1" applyBorder="1" applyAlignment="1">
      <alignment/>
    </xf>
    <xf numFmtId="2" fontId="60" fillId="0" borderId="25" xfId="0" applyNumberFormat="1" applyFont="1" applyFill="1" applyBorder="1" applyAlignment="1">
      <alignment horizontal="left"/>
    </xf>
    <xf numFmtId="10" fontId="0" fillId="0" borderId="45" xfId="72" applyNumberFormat="1" applyFill="1" applyBorder="1" applyAlignment="1">
      <alignment/>
    </xf>
    <xf numFmtId="10" fontId="0" fillId="0" borderId="46" xfId="72" applyNumberFormat="1" applyFill="1" applyBorder="1" applyAlignment="1">
      <alignment/>
    </xf>
    <xf numFmtId="189" fontId="0" fillId="0" borderId="35" xfId="0" applyNumberFormat="1" applyFill="1" applyBorder="1" applyAlignment="1">
      <alignment/>
    </xf>
    <xf numFmtId="17" fontId="0" fillId="0" borderId="2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/>
    </xf>
    <xf numFmtId="2" fontId="60" fillId="0" borderId="19" xfId="0" applyNumberFormat="1" applyFont="1" applyFill="1" applyBorder="1" applyAlignment="1">
      <alignment horizontal="left"/>
    </xf>
    <xf numFmtId="17" fontId="0" fillId="0" borderId="30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/>
    </xf>
    <xf numFmtId="2" fontId="60" fillId="0" borderId="26" xfId="0" applyNumberFormat="1" applyFont="1" applyFill="1" applyBorder="1" applyAlignment="1">
      <alignment horizontal="left"/>
    </xf>
    <xf numFmtId="189" fontId="0" fillId="0" borderId="34" xfId="0" applyNumberFormat="1" applyFill="1" applyBorder="1" applyAlignment="1">
      <alignment/>
    </xf>
    <xf numFmtId="9" fontId="0" fillId="0" borderId="0" xfId="72" applyFill="1" applyAlignment="1">
      <alignment/>
    </xf>
    <xf numFmtId="2" fontId="0" fillId="0" borderId="35" xfId="0" applyNumberFormat="1" applyFill="1" applyBorder="1" applyAlignment="1">
      <alignment horizontal="right"/>
    </xf>
    <xf numFmtId="173" fontId="0" fillId="0" borderId="0" xfId="60" applyFill="1" applyAlignment="1">
      <alignment/>
    </xf>
    <xf numFmtId="202" fontId="0" fillId="0" borderId="0" xfId="72" applyNumberFormat="1" applyFill="1" applyAlignment="1">
      <alignment/>
    </xf>
    <xf numFmtId="2" fontId="0" fillId="0" borderId="25" xfId="0" applyNumberFormat="1" applyFill="1" applyBorder="1" applyAlignment="1">
      <alignment horizontal="left"/>
    </xf>
    <xf numFmtId="0" fontId="38" fillId="36" borderId="33" xfId="0" applyFont="1" applyFill="1" applyBorder="1" applyAlignment="1">
      <alignment horizontal="center" vertical="center" wrapText="1"/>
    </xf>
    <xf numFmtId="200" fontId="38" fillId="36" borderId="22" xfId="60" applyNumberFormat="1" applyFont="1" applyFill="1" applyBorder="1" applyAlignment="1">
      <alignment horizontal="center" wrapText="1"/>
    </xf>
    <xf numFmtId="2" fontId="0" fillId="0" borderId="0" xfId="0" applyNumberFormat="1" applyFill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63" fillId="0" borderId="0" xfId="0" applyFont="1" applyAlignment="1">
      <alignment/>
    </xf>
    <xf numFmtId="2" fontId="0" fillId="0" borderId="21" xfId="0" applyNumberFormat="1" applyBorder="1" applyAlignment="1">
      <alignment horizontal="right"/>
    </xf>
    <xf numFmtId="49" fontId="60" fillId="0" borderId="0" xfId="0" applyNumberFormat="1" applyFont="1" applyAlignment="1">
      <alignment vertical="center"/>
    </xf>
    <xf numFmtId="187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8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33" fillId="0" borderId="0" xfId="0" applyNumberFormat="1" applyFont="1" applyFill="1" applyBorder="1" applyAlignment="1">
      <alignment horizontal="left"/>
    </xf>
    <xf numFmtId="17" fontId="0" fillId="0" borderId="0" xfId="0" applyNumberFormat="1" applyFill="1" applyBorder="1" applyAlignment="1">
      <alignment horizontal="center"/>
    </xf>
    <xf numFmtId="10" fontId="0" fillId="0" borderId="0" xfId="72" applyNumberFormat="1" applyFill="1" applyBorder="1" applyAlignment="1">
      <alignment/>
    </xf>
    <xf numFmtId="187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187" fontId="0" fillId="0" borderId="0" xfId="0" applyNumberFormat="1" applyFill="1" applyAlignment="1">
      <alignment/>
    </xf>
    <xf numFmtId="2" fontId="0" fillId="0" borderId="47" xfId="60" applyNumberFormat="1" applyBorder="1" applyAlignment="1">
      <alignment/>
    </xf>
    <xf numFmtId="2" fontId="0" fillId="0" borderId="48" xfId="60" applyNumberFormat="1" applyBorder="1" applyAlignment="1">
      <alignment/>
    </xf>
    <xf numFmtId="2" fontId="0" fillId="0" borderId="48" xfId="0" applyNumberFormat="1" applyBorder="1" applyAlignment="1">
      <alignment/>
    </xf>
    <xf numFmtId="2" fontId="0" fillId="0" borderId="48" xfId="0" applyNumberFormat="1" applyFill="1" applyBorder="1" applyAlignment="1">
      <alignment/>
    </xf>
    <xf numFmtId="2" fontId="0" fillId="0" borderId="48" xfId="0" applyNumberFormat="1" applyFill="1" applyBorder="1" applyAlignment="1">
      <alignment horizontal="right"/>
    </xf>
    <xf numFmtId="2" fontId="0" fillId="0" borderId="37" xfId="60" applyNumberFormat="1" applyBorder="1" applyAlignment="1">
      <alignment/>
    </xf>
    <xf numFmtId="2" fontId="0" fillId="0" borderId="43" xfId="60" applyNumberFormat="1" applyBorder="1" applyAlignment="1">
      <alignment/>
    </xf>
    <xf numFmtId="2" fontId="0" fillId="0" borderId="39" xfId="60" applyNumberFormat="1" applyBorder="1" applyAlignment="1">
      <alignment/>
    </xf>
    <xf numFmtId="2" fontId="0" fillId="0" borderId="44" xfId="60" applyNumberFormat="1" applyBorder="1" applyAlignment="1">
      <alignment/>
    </xf>
    <xf numFmtId="2" fontId="0" fillId="0" borderId="40" xfId="60" applyNumberFormat="1" applyBorder="1" applyAlignment="1">
      <alignment/>
    </xf>
    <xf numFmtId="2" fontId="0" fillId="0" borderId="49" xfId="60" applyNumberFormat="1" applyBorder="1" applyAlignment="1">
      <alignment/>
    </xf>
    <xf numFmtId="2" fontId="0" fillId="0" borderId="46" xfId="6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0" borderId="49" xfId="0" applyNumberFormat="1" applyBorder="1" applyAlignment="1">
      <alignment/>
    </xf>
    <xf numFmtId="2" fontId="0" fillId="0" borderId="46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47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39" xfId="0" applyNumberFormat="1" applyFill="1" applyBorder="1" applyAlignment="1">
      <alignment/>
    </xf>
    <xf numFmtId="2" fontId="0" fillId="0" borderId="44" xfId="0" applyNumberFormat="1" applyFill="1" applyBorder="1" applyAlignment="1">
      <alignment/>
    </xf>
    <xf numFmtId="2" fontId="0" fillId="0" borderId="37" xfId="0" applyNumberFormat="1" applyFill="1" applyBorder="1" applyAlignment="1">
      <alignment/>
    </xf>
    <xf numFmtId="2" fontId="0" fillId="0" borderId="47" xfId="0" applyNumberFormat="1" applyFill="1" applyBorder="1" applyAlignment="1">
      <alignment/>
    </xf>
    <xf numFmtId="2" fontId="0" fillId="0" borderId="43" xfId="0" applyNumberFormat="1" applyFill="1" applyBorder="1" applyAlignment="1">
      <alignment/>
    </xf>
    <xf numFmtId="2" fontId="0" fillId="0" borderId="40" xfId="0" applyNumberFormat="1" applyFill="1" applyBorder="1" applyAlignment="1">
      <alignment horizontal="right"/>
    </xf>
    <xf numFmtId="2" fontId="0" fillId="0" borderId="49" xfId="0" applyNumberFormat="1" applyFill="1" applyBorder="1" applyAlignment="1">
      <alignment horizontal="right"/>
    </xf>
    <xf numFmtId="2" fontId="0" fillId="0" borderId="46" xfId="0" applyNumberFormat="1" applyFill="1" applyBorder="1" applyAlignment="1">
      <alignment/>
    </xf>
    <xf numFmtId="2" fontId="0" fillId="0" borderId="39" xfId="0" applyNumberFormat="1" applyFill="1" applyBorder="1" applyAlignment="1">
      <alignment horizontal="right"/>
    </xf>
    <xf numFmtId="2" fontId="0" fillId="0" borderId="37" xfId="0" applyNumberFormat="1" applyFill="1" applyBorder="1" applyAlignment="1">
      <alignment horizontal="right"/>
    </xf>
    <xf numFmtId="2" fontId="0" fillId="0" borderId="47" xfId="0" applyNumberFormat="1" applyFill="1" applyBorder="1" applyAlignment="1">
      <alignment horizontal="right"/>
    </xf>
    <xf numFmtId="2" fontId="0" fillId="0" borderId="23" xfId="60" applyNumberFormat="1" applyBorder="1" applyAlignment="1">
      <alignment/>
    </xf>
    <xf numFmtId="2" fontId="0" fillId="0" borderId="24" xfId="60" applyNumberFormat="1" applyBorder="1" applyAlignment="1">
      <alignment/>
    </xf>
    <xf numFmtId="2" fontId="0" fillId="0" borderId="30" xfId="6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2" fontId="0" fillId="0" borderId="30" xfId="0" applyNumberFormat="1" applyFill="1" applyBorder="1" applyAlignment="1">
      <alignment horizontal="right"/>
    </xf>
    <xf numFmtId="2" fontId="0" fillId="0" borderId="24" xfId="0" applyNumberFormat="1" applyFill="1" applyBorder="1" applyAlignment="1">
      <alignment horizontal="right"/>
    </xf>
    <xf numFmtId="2" fontId="0" fillId="0" borderId="23" xfId="0" applyNumberFormat="1" applyFill="1" applyBorder="1" applyAlignment="1">
      <alignment horizontal="right"/>
    </xf>
    <xf numFmtId="0" fontId="38" fillId="36" borderId="50" xfId="0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>
      <alignment/>
    </xf>
    <xf numFmtId="189" fontId="0" fillId="35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189" fontId="59" fillId="0" borderId="0" xfId="0" applyNumberFormat="1" applyFont="1" applyBorder="1" applyAlignment="1">
      <alignment/>
    </xf>
    <xf numFmtId="2" fontId="0" fillId="35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9" fontId="59" fillId="0" borderId="32" xfId="0" applyNumberFormat="1" applyFont="1" applyFill="1" applyBorder="1" applyAlignment="1">
      <alignment/>
    </xf>
    <xf numFmtId="2" fontId="59" fillId="0" borderId="28" xfId="0" applyNumberFormat="1" applyFont="1" applyFill="1" applyBorder="1" applyAlignment="1">
      <alignment/>
    </xf>
    <xf numFmtId="9" fontId="59" fillId="0" borderId="20" xfId="72" applyFont="1" applyFill="1" applyBorder="1" applyAlignment="1">
      <alignment/>
    </xf>
    <xf numFmtId="0" fontId="0" fillId="0" borderId="0" xfId="0" applyFill="1" applyBorder="1" applyAlignment="1">
      <alignment/>
    </xf>
    <xf numFmtId="2" fontId="0" fillId="37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87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87" fontId="0" fillId="0" borderId="0" xfId="0" applyNumberFormat="1" applyBorder="1" applyAlignment="1">
      <alignment/>
    </xf>
    <xf numFmtId="189" fontId="0" fillId="13" borderId="18" xfId="0" applyNumberFormat="1" applyFill="1" applyBorder="1" applyAlignment="1">
      <alignment horizontal="center"/>
    </xf>
    <xf numFmtId="2" fontId="0" fillId="13" borderId="18" xfId="0" applyNumberFormat="1" applyFill="1" applyBorder="1" applyAlignment="1">
      <alignment horizontal="center"/>
    </xf>
    <xf numFmtId="2" fontId="0" fillId="35" borderId="28" xfId="0" applyNumberFormat="1" applyFill="1" applyBorder="1" applyAlignment="1">
      <alignment horizontal="center"/>
    </xf>
    <xf numFmtId="2" fontId="0" fillId="35" borderId="18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173" fontId="0" fillId="0" borderId="0" xfId="60" applyFont="1" applyFill="1" applyBorder="1" applyAlignment="1">
      <alignment horizontal="right"/>
    </xf>
    <xf numFmtId="190" fontId="0" fillId="0" borderId="0" xfId="0" applyNumberFormat="1" applyFill="1" applyBorder="1" applyAlignment="1">
      <alignment horizontal="right"/>
    </xf>
    <xf numFmtId="189" fontId="0" fillId="35" borderId="28" xfId="0" applyNumberFormat="1" applyFill="1" applyBorder="1" applyAlignment="1">
      <alignment horizontal="center"/>
    </xf>
    <xf numFmtId="189" fontId="0" fillId="35" borderId="18" xfId="0" applyNumberFormat="1" applyFill="1" applyBorder="1" applyAlignment="1">
      <alignment horizontal="center"/>
    </xf>
    <xf numFmtId="2" fontId="60" fillId="0" borderId="0" xfId="0" applyNumberFormat="1" applyFont="1" applyAlignment="1">
      <alignment wrapText="1"/>
    </xf>
    <xf numFmtId="2" fontId="0" fillId="13" borderId="39" xfId="0" applyNumberFormat="1" applyFill="1" applyBorder="1" applyAlignment="1">
      <alignment horizontal="right"/>
    </xf>
    <xf numFmtId="2" fontId="0" fillId="13" borderId="48" xfId="0" applyNumberFormat="1" applyFill="1" applyBorder="1" applyAlignment="1">
      <alignment horizontal="right"/>
    </xf>
    <xf numFmtId="2" fontId="0" fillId="13" borderId="24" xfId="0" applyNumberFormat="1" applyFill="1" applyBorder="1" applyAlignment="1">
      <alignment horizontal="right"/>
    </xf>
    <xf numFmtId="2" fontId="0" fillId="13" borderId="39" xfId="0" applyNumberFormat="1" applyFill="1" applyBorder="1" applyAlignment="1">
      <alignment/>
    </xf>
    <xf numFmtId="2" fontId="0" fillId="13" borderId="44" xfId="0" applyNumberFormat="1" applyFill="1" applyBorder="1" applyAlignment="1">
      <alignment/>
    </xf>
    <xf numFmtId="2" fontId="0" fillId="13" borderId="40" xfId="0" applyNumberFormat="1" applyFill="1" applyBorder="1" applyAlignment="1">
      <alignment horizontal="right"/>
    </xf>
    <xf numFmtId="2" fontId="0" fillId="13" borderId="49" xfId="0" applyNumberFormat="1" applyFill="1" applyBorder="1" applyAlignment="1">
      <alignment horizontal="right"/>
    </xf>
    <xf numFmtId="2" fontId="0" fillId="13" borderId="30" xfId="0" applyNumberFormat="1" applyFill="1" applyBorder="1" applyAlignment="1">
      <alignment horizontal="right"/>
    </xf>
    <xf numFmtId="2" fontId="0" fillId="13" borderId="40" xfId="0" applyNumberFormat="1" applyFill="1" applyBorder="1" applyAlignment="1">
      <alignment/>
    </xf>
    <xf numFmtId="2" fontId="0" fillId="13" borderId="46" xfId="0" applyNumberFormat="1" applyFill="1" applyBorder="1" applyAlignment="1">
      <alignment/>
    </xf>
    <xf numFmtId="2" fontId="0" fillId="0" borderId="35" xfId="0" applyNumberFormat="1" applyBorder="1" applyAlignment="1">
      <alignment horizontal="right"/>
    </xf>
    <xf numFmtId="2" fontId="33" fillId="0" borderId="47" xfId="0" applyNumberFormat="1" applyFont="1" applyFill="1" applyBorder="1" applyAlignment="1">
      <alignment horizontal="left"/>
    </xf>
    <xf numFmtId="2" fontId="33" fillId="0" borderId="48" xfId="0" applyNumberFormat="1" applyFont="1" applyFill="1" applyBorder="1" applyAlignment="1">
      <alignment horizontal="left"/>
    </xf>
    <xf numFmtId="2" fontId="33" fillId="0" borderId="49" xfId="0" applyNumberFormat="1" applyFont="1" applyFill="1" applyBorder="1" applyAlignment="1">
      <alignment horizontal="left"/>
    </xf>
    <xf numFmtId="10" fontId="0" fillId="0" borderId="0" xfId="0" applyNumberFormat="1" applyAlignment="1">
      <alignment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8" fillId="38" borderId="14" xfId="0" applyFont="1" applyFill="1" applyBorder="1" applyAlignment="1">
      <alignment horizontal="center" vertical="center"/>
    </xf>
    <xf numFmtId="0" fontId="38" fillId="38" borderId="11" xfId="0" applyFont="1" applyFill="1" applyBorder="1" applyAlignment="1">
      <alignment horizontal="center" vertical="center"/>
    </xf>
    <xf numFmtId="0" fontId="38" fillId="38" borderId="12" xfId="0" applyFont="1" applyFill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2" fontId="60" fillId="0" borderId="0" xfId="0" applyNumberFormat="1" applyFont="1" applyAlignment="1">
      <alignment horizontal="center" wrapText="1"/>
    </xf>
    <xf numFmtId="0" fontId="59" fillId="0" borderId="14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5" fillId="36" borderId="15" xfId="0" applyFont="1" applyFill="1" applyBorder="1" applyAlignment="1">
      <alignment horizontal="center"/>
    </xf>
    <xf numFmtId="0" fontId="35" fillId="36" borderId="0" xfId="0" applyFont="1" applyFill="1" applyBorder="1" applyAlignment="1">
      <alignment horizontal="center"/>
    </xf>
    <xf numFmtId="2" fontId="0" fillId="13" borderId="20" xfId="0" applyNumberFormat="1" applyFill="1" applyBorder="1" applyAlignment="1">
      <alignment horizontal="center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Followed Hyperlink" xfId="57"/>
    <cellStyle name="Incorrecto" xfId="58"/>
    <cellStyle name="linea de totales" xfId="59"/>
    <cellStyle name="Comma" xfId="60"/>
    <cellStyle name="Comma [0]" xfId="61"/>
    <cellStyle name="Millares 2" xfId="62"/>
    <cellStyle name="Millares 2 2" xfId="63"/>
    <cellStyle name="Currency" xfId="64"/>
    <cellStyle name="Currency [0]" xfId="65"/>
    <cellStyle name="Neutral" xfId="66"/>
    <cellStyle name="Normal 2" xfId="67"/>
    <cellStyle name="Normal 2 2" xfId="68"/>
    <cellStyle name="Normal 2 2 2" xfId="69"/>
    <cellStyle name="Notas" xfId="70"/>
    <cellStyle name="Notas al pie" xfId="71"/>
    <cellStyle name="Percent" xfId="72"/>
    <cellStyle name="Porcentual 2" xfId="73"/>
    <cellStyle name="Salida" xfId="74"/>
    <cellStyle name="subtitulos de las filas" xfId="75"/>
    <cellStyle name="Texto de advertencia" xfId="76"/>
    <cellStyle name="Texto explicativo" xfId="77"/>
    <cellStyle name="Título" xfId="78"/>
    <cellStyle name="Título 2" xfId="79"/>
    <cellStyle name="Título 3" xfId="80"/>
    <cellStyle name="titulo del informe" xfId="81"/>
    <cellStyle name="titulos de las columnas" xfId="82"/>
    <cellStyle name="titulos de las filas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352425</xdr:colOff>
      <xdr:row>0</xdr:row>
      <xdr:rowOff>95250</xdr:rowOff>
    </xdr:from>
    <xdr:to>
      <xdr:col>20</xdr:col>
      <xdr:colOff>114300</xdr:colOff>
      <xdr:row>8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95250"/>
          <a:ext cx="23812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0</xdr:rowOff>
    </xdr:from>
    <xdr:to>
      <xdr:col>9</xdr:col>
      <xdr:colOff>266700</xdr:colOff>
      <xdr:row>7</xdr:row>
      <xdr:rowOff>152400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21812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1095375</xdr:colOff>
      <xdr:row>0</xdr:row>
      <xdr:rowOff>19050</xdr:rowOff>
    </xdr:from>
    <xdr:to>
      <xdr:col>6</xdr:col>
      <xdr:colOff>409575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9050"/>
          <a:ext cx="21717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K126"/>
  <sheetViews>
    <sheetView showGridLines="0" tabSelected="1" zoomScalePageLayoutView="0" workbookViewId="0" topLeftCell="A34">
      <selection activeCell="AI59" sqref="AI59"/>
    </sheetView>
  </sheetViews>
  <sheetFormatPr defaultColWidth="11.421875" defaultRowHeight="15"/>
  <cols>
    <col min="1" max="1" width="3.140625" style="0" customWidth="1"/>
    <col min="2" max="2" width="8.421875" style="32" customWidth="1"/>
    <col min="3" max="3" width="7.140625" style="0" customWidth="1"/>
    <col min="4" max="4" width="6.28125" style="0" customWidth="1"/>
    <col min="5" max="5" width="7.28125" style="0" customWidth="1"/>
    <col min="6" max="6" width="6.140625" style="0" customWidth="1"/>
    <col min="7" max="7" width="6.421875" style="0" customWidth="1"/>
    <col min="8" max="9" width="7.421875" style="0" customWidth="1"/>
    <col min="10" max="11" width="6.8515625" style="0" customWidth="1"/>
    <col min="12" max="12" width="7.00390625" style="0" customWidth="1"/>
    <col min="13" max="13" width="7.28125" style="0" customWidth="1"/>
    <col min="14" max="14" width="8.8515625" style="0" customWidth="1"/>
    <col min="15" max="15" width="7.57421875" style="0" customWidth="1"/>
    <col min="16" max="16" width="6.421875" style="0" customWidth="1"/>
    <col min="17" max="17" width="7.8515625" style="0" customWidth="1"/>
    <col min="18" max="18" width="6.00390625" style="0" customWidth="1"/>
    <col min="19" max="19" width="7.57421875" style="0" customWidth="1"/>
    <col min="21" max="32" width="7.8515625" style="0" customWidth="1"/>
    <col min="33" max="33" width="7.00390625" style="0" customWidth="1"/>
    <col min="34" max="34" width="5.8515625" style="0" customWidth="1"/>
    <col min="35" max="35" width="8.140625" style="0" customWidth="1"/>
    <col min="36" max="36" width="7.00390625" style="0" customWidth="1"/>
  </cols>
  <sheetData>
    <row r="1" ht="15"/>
    <row r="2" ht="15"/>
    <row r="3" ht="15">
      <c r="V3" s="181" t="s">
        <v>92</v>
      </c>
    </row>
    <row r="4" ht="15">
      <c r="V4" s="181" t="s">
        <v>89</v>
      </c>
    </row>
    <row r="5" ht="15"/>
    <row r="6" spans="2:22" s="15" customFormat="1" ht="15">
      <c r="B6" s="32"/>
      <c r="V6" s="19" t="s">
        <v>15</v>
      </c>
    </row>
    <row r="7" s="15" customFormat="1" ht="15">
      <c r="B7" s="32"/>
    </row>
    <row r="8" s="15" customFormat="1" ht="15">
      <c r="B8" s="32"/>
    </row>
    <row r="9" s="15" customFormat="1" ht="15.75" thickBot="1">
      <c r="B9" s="32"/>
    </row>
    <row r="10" spans="2:35" s="185" customFormat="1" ht="22.5" customHeight="1" thickBot="1">
      <c r="B10" s="183"/>
      <c r="C10" s="184"/>
      <c r="D10" s="184"/>
      <c r="E10" s="280" t="s">
        <v>95</v>
      </c>
      <c r="F10" s="281"/>
      <c r="G10" s="281"/>
      <c r="H10" s="281"/>
      <c r="I10" s="281"/>
      <c r="J10" s="281"/>
      <c r="K10" s="281"/>
      <c r="L10" s="281"/>
      <c r="M10" s="282"/>
      <c r="N10" s="184"/>
      <c r="Q10" s="186"/>
      <c r="T10" s="183"/>
      <c r="U10" s="184"/>
      <c r="V10" s="184"/>
      <c r="W10" s="283" t="s">
        <v>94</v>
      </c>
      <c r="X10" s="284"/>
      <c r="Y10" s="284"/>
      <c r="Z10" s="284"/>
      <c r="AA10" s="284"/>
      <c r="AB10" s="284"/>
      <c r="AC10" s="284"/>
      <c r="AD10" s="284"/>
      <c r="AE10" s="285"/>
      <c r="AF10" s="184"/>
      <c r="AI10" s="186"/>
    </row>
    <row r="11" spans="10:36" ht="15.75" thickBot="1">
      <c r="J11" s="15"/>
      <c r="L11" s="15"/>
      <c r="M11" s="15"/>
      <c r="N11" s="15"/>
      <c r="O11" s="15"/>
      <c r="P11" s="15"/>
      <c r="T11" s="32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</row>
    <row r="12" spans="2:36" s="55" customFormat="1" ht="30" customHeight="1" thickBot="1">
      <c r="B12" s="59" t="s">
        <v>13</v>
      </c>
      <c r="C12" s="56" t="s">
        <v>1</v>
      </c>
      <c r="D12" s="56" t="s">
        <v>2</v>
      </c>
      <c r="E12" s="56" t="s">
        <v>3</v>
      </c>
      <c r="F12" s="56" t="s">
        <v>4</v>
      </c>
      <c r="G12" s="56" t="s">
        <v>5</v>
      </c>
      <c r="H12" s="56" t="s">
        <v>6</v>
      </c>
      <c r="I12" s="56" t="s">
        <v>7</v>
      </c>
      <c r="J12" s="56" t="s">
        <v>8</v>
      </c>
      <c r="K12" s="56" t="s">
        <v>9</v>
      </c>
      <c r="L12" s="56" t="s">
        <v>10</v>
      </c>
      <c r="M12" s="56" t="s">
        <v>11</v>
      </c>
      <c r="N12" s="56" t="s">
        <v>12</v>
      </c>
      <c r="O12" s="57" t="s">
        <v>25</v>
      </c>
      <c r="P12" s="58" t="s">
        <v>24</v>
      </c>
      <c r="Q12" s="57" t="s">
        <v>26</v>
      </c>
      <c r="R12" s="58" t="s">
        <v>24</v>
      </c>
      <c r="T12" s="59" t="s">
        <v>13</v>
      </c>
      <c r="U12" s="56" t="s">
        <v>1</v>
      </c>
      <c r="V12" s="56" t="s">
        <v>2</v>
      </c>
      <c r="W12" s="56" t="s">
        <v>3</v>
      </c>
      <c r="X12" s="56" t="s">
        <v>4</v>
      </c>
      <c r="Y12" s="56" t="s">
        <v>5</v>
      </c>
      <c r="Z12" s="56" t="s">
        <v>6</v>
      </c>
      <c r="AA12" s="56" t="s">
        <v>7</v>
      </c>
      <c r="AB12" s="56" t="s">
        <v>8</v>
      </c>
      <c r="AC12" s="56" t="s">
        <v>9</v>
      </c>
      <c r="AD12" s="56" t="s">
        <v>10</v>
      </c>
      <c r="AE12" s="56" t="s">
        <v>11</v>
      </c>
      <c r="AF12" s="56" t="s">
        <v>12</v>
      </c>
      <c r="AG12" s="57" t="s">
        <v>25</v>
      </c>
      <c r="AH12" s="58" t="s">
        <v>24</v>
      </c>
      <c r="AI12" s="57" t="s">
        <v>26</v>
      </c>
      <c r="AJ12" s="58" t="s">
        <v>24</v>
      </c>
    </row>
    <row r="13" spans="2:36" ht="15">
      <c r="B13" s="33">
        <v>2002</v>
      </c>
      <c r="C13" s="11">
        <v>1.8402190010621498</v>
      </c>
      <c r="D13" s="12">
        <v>1.9389296086783374</v>
      </c>
      <c r="E13" s="12">
        <v>2.046320487991051</v>
      </c>
      <c r="F13" s="12">
        <v>2.1911293104526557</v>
      </c>
      <c r="G13" s="12">
        <v>2.18983592481559</v>
      </c>
      <c r="H13" s="12">
        <v>2.197930884104453</v>
      </c>
      <c r="I13" s="12">
        <v>2.211188511009912</v>
      </c>
      <c r="J13" s="12">
        <v>2.4464783875238254</v>
      </c>
      <c r="K13" s="12">
        <v>2.414501861805802</v>
      </c>
      <c r="L13" s="12">
        <v>2.7788869108089522</v>
      </c>
      <c r="M13" s="12">
        <v>2.5104422311997374</v>
      </c>
      <c r="N13" s="12">
        <v>2.719208083647799</v>
      </c>
      <c r="O13" s="8">
        <f>AVERAGE(C13:N13)</f>
        <v>2.290422600258356</v>
      </c>
      <c r="P13" s="5"/>
      <c r="Q13" s="8">
        <v>2.290422600258356</v>
      </c>
      <c r="R13" s="5"/>
      <c r="T13" s="95">
        <v>2002</v>
      </c>
      <c r="U13" s="11">
        <v>1.8402190010621498</v>
      </c>
      <c r="V13" s="12">
        <v>1.9389296086783374</v>
      </c>
      <c r="W13" s="12">
        <v>2.046320487991051</v>
      </c>
      <c r="X13" s="12">
        <v>2.1911293104526557</v>
      </c>
      <c r="Y13" s="12">
        <v>2.18983592481559</v>
      </c>
      <c r="Z13" s="12">
        <v>2.197930884104453</v>
      </c>
      <c r="AA13" s="12">
        <v>2.211188511009912</v>
      </c>
      <c r="AB13" s="12">
        <v>2.4464783875238254</v>
      </c>
      <c r="AC13" s="12">
        <v>2.414501861805802</v>
      </c>
      <c r="AD13" s="12">
        <v>2.7788869108089522</v>
      </c>
      <c r="AE13" s="12">
        <v>2.5104422311997374</v>
      </c>
      <c r="AF13" s="12">
        <v>2.719208083647799</v>
      </c>
      <c r="AG13" s="100">
        <f>AVERAGE(U13:AF13)</f>
        <v>2.290422600258356</v>
      </c>
      <c r="AH13" s="5"/>
      <c r="AI13" s="100">
        <v>2.290422600258356</v>
      </c>
      <c r="AJ13" s="5"/>
    </row>
    <row r="14" spans="2:36" ht="15">
      <c r="B14" s="33">
        <v>2003</v>
      </c>
      <c r="C14" s="13">
        <v>2.7195373159418934</v>
      </c>
      <c r="D14" s="2">
        <v>2.929368647974573</v>
      </c>
      <c r="E14" s="2">
        <v>3.4185233892524973</v>
      </c>
      <c r="F14" s="2">
        <v>3.4641721620218715</v>
      </c>
      <c r="G14" s="2">
        <v>3.485424966857944</v>
      </c>
      <c r="H14" s="2">
        <v>3.88843552299012</v>
      </c>
      <c r="I14" s="2">
        <v>3.8359177424105853</v>
      </c>
      <c r="J14" s="2">
        <v>3.828973992592902</v>
      </c>
      <c r="K14" s="2">
        <v>3.8155056871358393</v>
      </c>
      <c r="L14" s="2">
        <v>3.779024530364609</v>
      </c>
      <c r="M14" s="2">
        <v>3.7461694378702313</v>
      </c>
      <c r="N14" s="2">
        <v>3.7211031377778667</v>
      </c>
      <c r="O14" s="8">
        <f>AVERAGE(C14:N14)</f>
        <v>3.5526797110992447</v>
      </c>
      <c r="P14" s="6">
        <f aca="true" t="shared" si="0" ref="P14:P24">O14/O13-1</f>
        <v>0.5511022772384924</v>
      </c>
      <c r="Q14" s="8">
        <v>3.5526797110992447</v>
      </c>
      <c r="R14" s="6">
        <f aca="true" t="shared" si="1" ref="R14:R22">Q14/Q13-1</f>
        <v>0.5511022772384924</v>
      </c>
      <c r="T14" s="95">
        <v>2003</v>
      </c>
      <c r="U14" s="13">
        <v>2.7195373159418934</v>
      </c>
      <c r="V14" s="37">
        <v>2.929368647974573</v>
      </c>
      <c r="W14" s="37">
        <v>3.4185233892524973</v>
      </c>
      <c r="X14" s="37">
        <v>3.4641721620218715</v>
      </c>
      <c r="Y14" s="37">
        <v>3.485424966857944</v>
      </c>
      <c r="Z14" s="37">
        <v>3.88843552299012</v>
      </c>
      <c r="AA14" s="37">
        <v>3.8359177424105853</v>
      </c>
      <c r="AB14" s="37">
        <v>3.828973992592902</v>
      </c>
      <c r="AC14" s="37">
        <v>3.8155056871358393</v>
      </c>
      <c r="AD14" s="37">
        <v>3.779024530364609</v>
      </c>
      <c r="AE14" s="37">
        <v>3.7461694378702313</v>
      </c>
      <c r="AF14" s="37">
        <v>3.7211031377778667</v>
      </c>
      <c r="AG14" s="100">
        <f>AVERAGE(U14:AF14)</f>
        <v>3.5526797110992447</v>
      </c>
      <c r="AH14" s="97">
        <f aca="true" t="shared" si="2" ref="AH14:AH31">AG14/AG13-1</f>
        <v>0.5511022772384924</v>
      </c>
      <c r="AI14" s="100">
        <v>3.5526797110992447</v>
      </c>
      <c r="AJ14" s="97">
        <f aca="true" t="shared" si="3" ref="AJ14:AJ29">AI14/AI13-1</f>
        <v>0.5511022772384924</v>
      </c>
    </row>
    <row r="15" spans="2:36" ht="15">
      <c r="B15" s="33">
        <v>2004</v>
      </c>
      <c r="C15" s="13">
        <v>3.8102893729845606</v>
      </c>
      <c r="D15" s="2">
        <v>3.8941636765347183</v>
      </c>
      <c r="E15" s="2">
        <v>4.123823214290245</v>
      </c>
      <c r="F15" s="2">
        <v>4.202036814710492</v>
      </c>
      <c r="G15" s="2">
        <v>4.390534857537853</v>
      </c>
      <c r="H15" s="2">
        <v>4.338870473032118</v>
      </c>
      <c r="I15" s="2">
        <v>4.2909764735201374</v>
      </c>
      <c r="J15" s="2">
        <v>4.237647047996861</v>
      </c>
      <c r="K15" s="2">
        <v>4.298807186747194</v>
      </c>
      <c r="L15" s="2">
        <v>4.266091895121696</v>
      </c>
      <c r="M15" s="2">
        <v>4.1467909047742015</v>
      </c>
      <c r="N15" s="2">
        <v>4.092504629341228</v>
      </c>
      <c r="O15" s="8">
        <f aca="true" t="shared" si="4" ref="O15:O23">AVERAGE(C15:N15)</f>
        <v>4.1743780455492745</v>
      </c>
      <c r="P15" s="6">
        <f t="shared" si="0"/>
        <v>0.1749941973400322</v>
      </c>
      <c r="Q15" s="8">
        <v>4.1743780455492745</v>
      </c>
      <c r="R15" s="6">
        <f t="shared" si="1"/>
        <v>0.1749941973400322</v>
      </c>
      <c r="T15" s="95">
        <v>2004</v>
      </c>
      <c r="U15" s="13">
        <v>3.8102893729845606</v>
      </c>
      <c r="V15" s="37">
        <v>3.8941636765347183</v>
      </c>
      <c r="W15" s="37">
        <v>4.123823214290245</v>
      </c>
      <c r="X15" s="37">
        <v>4.202036814710492</v>
      </c>
      <c r="Y15" s="37">
        <v>4.390534857537853</v>
      </c>
      <c r="Z15" s="37">
        <v>4.338870473032118</v>
      </c>
      <c r="AA15" s="37">
        <v>4.2909764735201374</v>
      </c>
      <c r="AB15" s="37">
        <v>4.237647047996861</v>
      </c>
      <c r="AC15" s="37">
        <v>4.298807186747194</v>
      </c>
      <c r="AD15" s="37">
        <v>4.266091895121696</v>
      </c>
      <c r="AE15" s="37">
        <v>4.1467909047742015</v>
      </c>
      <c r="AF15" s="37">
        <v>4.092504629341228</v>
      </c>
      <c r="AG15" s="100">
        <f aca="true" t="shared" si="5" ref="AG15:AG31">AVERAGE(U15:AF15)</f>
        <v>4.1743780455492745</v>
      </c>
      <c r="AH15" s="97">
        <f t="shared" si="2"/>
        <v>0.1749941973400322</v>
      </c>
      <c r="AI15" s="100">
        <v>4.1743780455492745</v>
      </c>
      <c r="AJ15" s="97">
        <f t="shared" si="3"/>
        <v>0.1749941973400322</v>
      </c>
    </row>
    <row r="16" spans="2:36" ht="15">
      <c r="B16" s="33">
        <v>2005</v>
      </c>
      <c r="C16" s="13">
        <v>4.124300571172734</v>
      </c>
      <c r="D16" s="2">
        <v>4.145048253926778</v>
      </c>
      <c r="E16" s="2">
        <v>4.259470020259612</v>
      </c>
      <c r="F16" s="2">
        <v>4.398026572341139</v>
      </c>
      <c r="G16" s="2">
        <v>4.3483425078779065</v>
      </c>
      <c r="H16" s="2">
        <v>4.3335434253105</v>
      </c>
      <c r="I16" s="2">
        <v>4.293638362068547</v>
      </c>
      <c r="J16" s="2">
        <v>4.117354684982933</v>
      </c>
      <c r="K16" s="2">
        <v>4.222956552680217</v>
      </c>
      <c r="L16" s="2">
        <v>4.164243790423683</v>
      </c>
      <c r="M16" s="2">
        <v>4.166325925610694</v>
      </c>
      <c r="N16" s="2">
        <v>4.149209927829462</v>
      </c>
      <c r="O16" s="8">
        <f t="shared" si="4"/>
        <v>4.226871716207017</v>
      </c>
      <c r="P16" s="6">
        <f t="shared" si="0"/>
        <v>0.012575207632119279</v>
      </c>
      <c r="Q16" s="8">
        <v>4.226871716207017</v>
      </c>
      <c r="R16" s="6">
        <f t="shared" si="1"/>
        <v>0.012575207632119279</v>
      </c>
      <c r="S16" s="15"/>
      <c r="T16" s="95">
        <v>2005</v>
      </c>
      <c r="U16" s="13">
        <v>4.124300571172734</v>
      </c>
      <c r="V16" s="37">
        <v>4.145048253926778</v>
      </c>
      <c r="W16" s="37">
        <v>4.259470020259612</v>
      </c>
      <c r="X16" s="37">
        <v>4.398026572341139</v>
      </c>
      <c r="Y16" s="37">
        <v>4.3483425078779065</v>
      </c>
      <c r="Z16" s="37">
        <v>4.3335434253105</v>
      </c>
      <c r="AA16" s="37">
        <v>4.293638362068547</v>
      </c>
      <c r="AB16" s="37">
        <v>4.117354684982933</v>
      </c>
      <c r="AC16" s="37">
        <v>4.222956552680217</v>
      </c>
      <c r="AD16" s="37">
        <v>4.164243790423683</v>
      </c>
      <c r="AE16" s="37">
        <v>4.166325925610694</v>
      </c>
      <c r="AF16" s="37">
        <v>4.149209927829462</v>
      </c>
      <c r="AG16" s="100">
        <f t="shared" si="5"/>
        <v>4.226871716207017</v>
      </c>
      <c r="AH16" s="97">
        <f t="shared" si="2"/>
        <v>0.012575207632119279</v>
      </c>
      <c r="AI16" s="100">
        <v>4.226871716207017</v>
      </c>
      <c r="AJ16" s="97">
        <f t="shared" si="3"/>
        <v>0.012575207632119279</v>
      </c>
    </row>
    <row r="17" spans="2:36" ht="15">
      <c r="B17" s="33">
        <v>2006</v>
      </c>
      <c r="C17" s="13">
        <v>3.9836137596799412</v>
      </c>
      <c r="D17" s="2">
        <v>4.075459365650063</v>
      </c>
      <c r="E17" s="2">
        <v>4.418074166605043</v>
      </c>
      <c r="F17" s="2">
        <v>4.485499120247729</v>
      </c>
      <c r="G17" s="2">
        <v>4.465287556069938</v>
      </c>
      <c r="H17" s="2">
        <v>4.421288094467141</v>
      </c>
      <c r="I17" s="2">
        <v>4.352988266852353</v>
      </c>
      <c r="J17" s="2">
        <v>4.157471283907634</v>
      </c>
      <c r="K17" s="2">
        <v>3.8755333867042783</v>
      </c>
      <c r="L17" s="2">
        <v>3.823356318201433</v>
      </c>
      <c r="M17" s="2">
        <v>3.775946583725355</v>
      </c>
      <c r="N17" s="2">
        <v>3.7215982735167548</v>
      </c>
      <c r="O17" s="8">
        <f t="shared" si="4"/>
        <v>4.129676347968972</v>
      </c>
      <c r="P17" s="6">
        <f t="shared" si="0"/>
        <v>-0.02299463403759594</v>
      </c>
      <c r="Q17" s="8">
        <v>4.129676347968972</v>
      </c>
      <c r="R17" s="6">
        <f t="shared" si="1"/>
        <v>-0.02299463403759594</v>
      </c>
      <c r="S17" s="15"/>
      <c r="T17" s="95">
        <v>2006</v>
      </c>
      <c r="U17" s="13">
        <v>3.9836137596799412</v>
      </c>
      <c r="V17" s="37">
        <v>4.075459365650063</v>
      </c>
      <c r="W17" s="37">
        <v>4.418074166605043</v>
      </c>
      <c r="X17" s="37">
        <v>4.485499120247729</v>
      </c>
      <c r="Y17" s="37">
        <v>4.465287556069938</v>
      </c>
      <c r="Z17" s="37">
        <v>4.421288094467141</v>
      </c>
      <c r="AA17" s="37">
        <v>4.352988266852353</v>
      </c>
      <c r="AB17" s="37">
        <v>4.157471283907634</v>
      </c>
      <c r="AC17" s="37">
        <v>3.8755333867042783</v>
      </c>
      <c r="AD17" s="37">
        <v>3.823356318201433</v>
      </c>
      <c r="AE17" s="37">
        <v>3.775946583725355</v>
      </c>
      <c r="AF17" s="37">
        <v>3.7215982735167548</v>
      </c>
      <c r="AG17" s="100">
        <f t="shared" si="5"/>
        <v>4.129676347968972</v>
      </c>
      <c r="AH17" s="97">
        <f t="shared" si="2"/>
        <v>-0.02299463403759594</v>
      </c>
      <c r="AI17" s="100">
        <v>4.129676347968972</v>
      </c>
      <c r="AJ17" s="97">
        <f t="shared" si="3"/>
        <v>-0.02299463403759594</v>
      </c>
    </row>
    <row r="18" spans="2:36" ht="15">
      <c r="B18" s="33">
        <v>2007</v>
      </c>
      <c r="C18" s="13">
        <v>4.218397156083076</v>
      </c>
      <c r="D18" s="2">
        <v>4.3301085522307705</v>
      </c>
      <c r="E18" s="2">
        <v>4.907777921552689</v>
      </c>
      <c r="F18" s="2">
        <v>5.192389658390091</v>
      </c>
      <c r="G18" s="2">
        <v>5.900806463533746</v>
      </c>
      <c r="H18" s="2">
        <v>5.853415123751404</v>
      </c>
      <c r="I18" s="2">
        <v>5.761373746522552</v>
      </c>
      <c r="J18" s="2">
        <v>6.5213280000000005</v>
      </c>
      <c r="K18" s="2">
        <v>7.239400000000002</v>
      </c>
      <c r="L18" s="2">
        <v>7.366916</v>
      </c>
      <c r="M18" s="2">
        <v>7.273725000000001</v>
      </c>
      <c r="N18" s="2">
        <v>7.5358008</v>
      </c>
      <c r="O18" s="8">
        <f t="shared" si="4"/>
        <v>6.0084532018386945</v>
      </c>
      <c r="P18" s="6">
        <f t="shared" si="0"/>
        <v>0.45494530214062157</v>
      </c>
      <c r="Q18" s="8">
        <v>6.0084532018386945</v>
      </c>
      <c r="R18" s="6">
        <f t="shared" si="1"/>
        <v>0.45494530214062157</v>
      </c>
      <c r="S18" s="15"/>
      <c r="T18" s="95">
        <v>2007</v>
      </c>
      <c r="U18" s="13">
        <v>4.218397156083076</v>
      </c>
      <c r="V18" s="37">
        <v>4.3301085522307705</v>
      </c>
      <c r="W18" s="37">
        <v>4.907777921552689</v>
      </c>
      <c r="X18" s="37">
        <v>5.192389658390091</v>
      </c>
      <c r="Y18" s="37">
        <v>5.900806463533746</v>
      </c>
      <c r="Z18" s="37">
        <v>5.853415123751404</v>
      </c>
      <c r="AA18" s="37">
        <v>5.761373746522552</v>
      </c>
      <c r="AB18" s="37">
        <v>6.5213280000000005</v>
      </c>
      <c r="AC18" s="37">
        <v>7.239400000000002</v>
      </c>
      <c r="AD18" s="37">
        <v>7.366916</v>
      </c>
      <c r="AE18" s="37">
        <v>7.273725000000001</v>
      </c>
      <c r="AF18" s="37">
        <v>7.5358008</v>
      </c>
      <c r="AG18" s="100">
        <f t="shared" si="5"/>
        <v>6.0084532018386945</v>
      </c>
      <c r="AH18" s="97">
        <f t="shared" si="2"/>
        <v>0.45494530214062157</v>
      </c>
      <c r="AI18" s="100">
        <v>6.0084532018386945</v>
      </c>
      <c r="AJ18" s="97">
        <f t="shared" si="3"/>
        <v>0.45494530214062157</v>
      </c>
    </row>
    <row r="19" spans="2:36" ht="15">
      <c r="B19" s="33">
        <v>2008</v>
      </c>
      <c r="C19" s="13">
        <v>7.986039999999999</v>
      </c>
      <c r="D19" s="2">
        <v>8.1486804</v>
      </c>
      <c r="E19" s="2">
        <v>8.308762236082694</v>
      </c>
      <c r="F19" s="2">
        <v>8.53</v>
      </c>
      <c r="G19" s="2">
        <v>8.49</v>
      </c>
      <c r="H19" s="2">
        <v>8.5</v>
      </c>
      <c r="I19" s="2">
        <v>8</v>
      </c>
      <c r="J19" s="2">
        <v>7.172570299070798</v>
      </c>
      <c r="K19" s="2">
        <v>6.280000000000001</v>
      </c>
      <c r="L19" s="2">
        <v>5.414483816031456</v>
      </c>
      <c r="M19" s="2">
        <v>4.934094156734846</v>
      </c>
      <c r="N19" s="2">
        <v>4.76</v>
      </c>
      <c r="O19" s="8">
        <f t="shared" si="4"/>
        <v>7.210385908993317</v>
      </c>
      <c r="P19" s="6">
        <f t="shared" si="0"/>
        <v>0.20004028770446425</v>
      </c>
      <c r="Q19" s="8">
        <v>7.210385908993317</v>
      </c>
      <c r="R19" s="6">
        <f t="shared" si="1"/>
        <v>0.20004028770446425</v>
      </c>
      <c r="S19" s="15"/>
      <c r="T19" s="95">
        <v>2008</v>
      </c>
      <c r="U19" s="13">
        <v>7.986039999999999</v>
      </c>
      <c r="V19" s="37">
        <v>8.1486804</v>
      </c>
      <c r="W19" s="37">
        <v>8.308762236082694</v>
      </c>
      <c r="X19" s="37">
        <v>8.53</v>
      </c>
      <c r="Y19" s="37">
        <v>8.49</v>
      </c>
      <c r="Z19" s="37">
        <v>8.5</v>
      </c>
      <c r="AA19" s="37">
        <v>8</v>
      </c>
      <c r="AB19" s="37">
        <v>7.172570299070798</v>
      </c>
      <c r="AC19" s="37">
        <v>6.280000000000001</v>
      </c>
      <c r="AD19" s="37">
        <v>5.414483816031456</v>
      </c>
      <c r="AE19" s="37">
        <v>4.934094156734846</v>
      </c>
      <c r="AF19" s="37">
        <v>4.76</v>
      </c>
      <c r="AG19" s="100">
        <f t="shared" si="5"/>
        <v>7.210385908993317</v>
      </c>
      <c r="AH19" s="97">
        <f t="shared" si="2"/>
        <v>0.20004028770446425</v>
      </c>
      <c r="AI19" s="100">
        <v>7.210385908993317</v>
      </c>
      <c r="AJ19" s="97">
        <f t="shared" si="3"/>
        <v>0.20004028770446425</v>
      </c>
    </row>
    <row r="20" spans="2:36" ht="15">
      <c r="B20" s="33">
        <v>2009</v>
      </c>
      <c r="C20" s="13">
        <v>4.61</v>
      </c>
      <c r="D20" s="2">
        <v>4.75</v>
      </c>
      <c r="E20" s="2">
        <v>4.84</v>
      </c>
      <c r="F20" s="2">
        <v>4.87</v>
      </c>
      <c r="G20" s="2">
        <v>5.134344926957425</v>
      </c>
      <c r="H20" s="2">
        <v>5.229820750304147</v>
      </c>
      <c r="I20" s="2">
        <v>5.202123269449806</v>
      </c>
      <c r="J20" s="2">
        <v>4.95</v>
      </c>
      <c r="K20" s="2">
        <v>5.04</v>
      </c>
      <c r="L20" s="2">
        <v>5.070515052017154</v>
      </c>
      <c r="M20" s="2">
        <v>5.84</v>
      </c>
      <c r="N20" s="2">
        <v>5.52</v>
      </c>
      <c r="O20" s="8">
        <f t="shared" si="4"/>
        <v>5.0880669998940435</v>
      </c>
      <c r="P20" s="6">
        <f t="shared" si="0"/>
        <v>-0.2943419306381595</v>
      </c>
      <c r="Q20" s="8">
        <v>5.0880669998940435</v>
      </c>
      <c r="R20" s="6">
        <f t="shared" si="1"/>
        <v>-0.2943419306381595</v>
      </c>
      <c r="S20" s="15"/>
      <c r="T20" s="95">
        <v>2009</v>
      </c>
      <c r="U20" s="13">
        <v>4.61</v>
      </c>
      <c r="V20" s="37">
        <v>4.75</v>
      </c>
      <c r="W20" s="37">
        <v>4.84</v>
      </c>
      <c r="X20" s="37">
        <v>4.87</v>
      </c>
      <c r="Y20" s="37">
        <v>5.134344926957425</v>
      </c>
      <c r="Z20" s="37">
        <v>5.229820750304147</v>
      </c>
      <c r="AA20" s="37">
        <v>5.202123269449806</v>
      </c>
      <c r="AB20" s="37">
        <v>4.95</v>
      </c>
      <c r="AC20" s="37">
        <v>5.04</v>
      </c>
      <c r="AD20" s="37">
        <v>5.070515052017154</v>
      </c>
      <c r="AE20" s="37">
        <v>5.84</v>
      </c>
      <c r="AF20" s="37">
        <v>5.52</v>
      </c>
      <c r="AG20" s="100">
        <f t="shared" si="5"/>
        <v>5.0880669998940435</v>
      </c>
      <c r="AH20" s="97">
        <f t="shared" si="2"/>
        <v>-0.2943419306381595</v>
      </c>
      <c r="AI20" s="100">
        <v>5.0880669998940435</v>
      </c>
      <c r="AJ20" s="97">
        <f t="shared" si="3"/>
        <v>-0.2943419306381595</v>
      </c>
    </row>
    <row r="21" spans="2:36" ht="15">
      <c r="B21" s="33">
        <v>2010</v>
      </c>
      <c r="C21" s="13">
        <v>5.559019418461234</v>
      </c>
      <c r="D21" s="2">
        <v>5.97</v>
      </c>
      <c r="E21" s="2">
        <v>6.31</v>
      </c>
      <c r="F21" s="2">
        <v>6.53</v>
      </c>
      <c r="G21" s="2">
        <v>6.55</v>
      </c>
      <c r="H21" s="2">
        <v>6.51</v>
      </c>
      <c r="I21" s="2">
        <v>6.51</v>
      </c>
      <c r="J21" s="2">
        <v>6.61</v>
      </c>
      <c r="K21" s="2">
        <v>6.51</v>
      </c>
      <c r="L21" s="2">
        <v>6.58</v>
      </c>
      <c r="M21" s="2">
        <v>6.5</v>
      </c>
      <c r="N21" s="2">
        <v>6.82</v>
      </c>
      <c r="O21" s="8">
        <f t="shared" si="4"/>
        <v>6.413251618205102</v>
      </c>
      <c r="P21" s="6">
        <f t="shared" si="0"/>
        <v>0.2604495220559506</v>
      </c>
      <c r="Q21" s="8">
        <v>6.413251618205102</v>
      </c>
      <c r="R21" s="6">
        <f t="shared" si="1"/>
        <v>0.2604495220559506</v>
      </c>
      <c r="S21" s="15"/>
      <c r="T21" s="95">
        <v>2010</v>
      </c>
      <c r="U21" s="13">
        <v>5.559019418461234</v>
      </c>
      <c r="V21" s="37">
        <v>5.97</v>
      </c>
      <c r="W21" s="37">
        <v>6.31</v>
      </c>
      <c r="X21" s="37">
        <v>6.53</v>
      </c>
      <c r="Y21" s="37">
        <v>6.55</v>
      </c>
      <c r="Z21" s="37">
        <v>6.51</v>
      </c>
      <c r="AA21" s="37">
        <v>6.51</v>
      </c>
      <c r="AB21" s="37">
        <v>6.61</v>
      </c>
      <c r="AC21" s="37">
        <v>6.51</v>
      </c>
      <c r="AD21" s="37">
        <v>6.58</v>
      </c>
      <c r="AE21" s="37">
        <v>6.5</v>
      </c>
      <c r="AF21" s="37">
        <v>6.82</v>
      </c>
      <c r="AG21" s="100">
        <f t="shared" si="5"/>
        <v>6.413251618205102</v>
      </c>
      <c r="AH21" s="97">
        <f t="shared" si="2"/>
        <v>0.2604495220559506</v>
      </c>
      <c r="AI21" s="100">
        <v>6.413251618205102</v>
      </c>
      <c r="AJ21" s="97">
        <f t="shared" si="3"/>
        <v>0.2604495220559506</v>
      </c>
    </row>
    <row r="22" spans="2:36" ht="15">
      <c r="B22" s="33">
        <v>2011</v>
      </c>
      <c r="C22" s="13">
        <v>7.18</v>
      </c>
      <c r="D22" s="2">
        <v>7.66</v>
      </c>
      <c r="E22" s="2">
        <v>8.2</v>
      </c>
      <c r="F22" s="2">
        <v>8.31</v>
      </c>
      <c r="G22" s="2">
        <v>8.38</v>
      </c>
      <c r="H22" s="2">
        <v>8.34</v>
      </c>
      <c r="I22" s="2">
        <v>8.25</v>
      </c>
      <c r="J22" s="2">
        <v>7.95</v>
      </c>
      <c r="K22" s="2">
        <v>7.81</v>
      </c>
      <c r="L22" s="2">
        <v>7.68</v>
      </c>
      <c r="M22" s="2">
        <v>7.51</v>
      </c>
      <c r="N22" s="2">
        <v>7.54</v>
      </c>
      <c r="O22" s="8">
        <f t="shared" si="4"/>
        <v>7.900833333333336</v>
      </c>
      <c r="P22" s="6">
        <f t="shared" si="0"/>
        <v>0.23195436631637545</v>
      </c>
      <c r="Q22" s="8">
        <v>7.900833333333336</v>
      </c>
      <c r="R22" s="6">
        <f t="shared" si="1"/>
        <v>0.23195436631637545</v>
      </c>
      <c r="S22" s="15"/>
      <c r="T22" s="95">
        <v>2011</v>
      </c>
      <c r="U22" s="13">
        <v>7.18</v>
      </c>
      <c r="V22" s="37">
        <v>7.66</v>
      </c>
      <c r="W22" s="37">
        <v>8.2</v>
      </c>
      <c r="X22" s="37">
        <v>8.31</v>
      </c>
      <c r="Y22" s="37">
        <v>8.38</v>
      </c>
      <c r="Z22" s="37">
        <v>8.34</v>
      </c>
      <c r="AA22" s="37">
        <v>8.25</v>
      </c>
      <c r="AB22" s="37">
        <v>7.95</v>
      </c>
      <c r="AC22" s="37">
        <v>7.81</v>
      </c>
      <c r="AD22" s="37">
        <v>7.68</v>
      </c>
      <c r="AE22" s="37">
        <v>7.51</v>
      </c>
      <c r="AF22" s="37">
        <v>7.54</v>
      </c>
      <c r="AG22" s="100">
        <f t="shared" si="5"/>
        <v>7.900833333333336</v>
      </c>
      <c r="AH22" s="97">
        <f t="shared" si="2"/>
        <v>0.23195436631637545</v>
      </c>
      <c r="AI22" s="100">
        <v>7.900833333333336</v>
      </c>
      <c r="AJ22" s="97">
        <f t="shared" si="3"/>
        <v>0.23195436631637545</v>
      </c>
    </row>
    <row r="23" spans="2:36" s="15" customFormat="1" ht="15">
      <c r="B23" s="33">
        <v>2012</v>
      </c>
      <c r="C23" s="13">
        <v>8.14</v>
      </c>
      <c r="D23" s="2">
        <v>7.76</v>
      </c>
      <c r="E23" s="2">
        <v>8.04</v>
      </c>
      <c r="F23" s="2">
        <v>8.13</v>
      </c>
      <c r="G23" s="2">
        <v>8.05</v>
      </c>
      <c r="H23" s="2">
        <v>7.98</v>
      </c>
      <c r="I23" s="2">
        <v>7.83</v>
      </c>
      <c r="J23" s="2">
        <v>7.23</v>
      </c>
      <c r="K23" s="2">
        <v>7.22</v>
      </c>
      <c r="L23" s="2">
        <v>7.16</v>
      </c>
      <c r="M23" s="2">
        <v>7</v>
      </c>
      <c r="N23" s="2">
        <v>6.98</v>
      </c>
      <c r="O23" s="8">
        <f t="shared" si="4"/>
        <v>7.626666666666668</v>
      </c>
      <c r="P23" s="6">
        <f t="shared" si="0"/>
        <v>-0.03470098090918694</v>
      </c>
      <c r="Q23" s="8">
        <v>7.628445688190628</v>
      </c>
      <c r="R23" s="6">
        <f aca="true" t="shared" si="6" ref="R23:R29">Q23/Q22-1</f>
        <v>-0.03447581206320527</v>
      </c>
      <c r="T23" s="95">
        <v>2012</v>
      </c>
      <c r="U23" s="13">
        <v>8.14</v>
      </c>
      <c r="V23" s="37">
        <v>7.76</v>
      </c>
      <c r="W23" s="37">
        <v>8.04</v>
      </c>
      <c r="X23" s="37">
        <v>8.13</v>
      </c>
      <c r="Y23" s="37">
        <v>8.05</v>
      </c>
      <c r="Z23" s="37">
        <v>7.98</v>
      </c>
      <c r="AA23" s="37">
        <v>7.83</v>
      </c>
      <c r="AB23" s="37">
        <v>7.23</v>
      </c>
      <c r="AC23" s="37">
        <v>7.22</v>
      </c>
      <c r="AD23" s="37">
        <v>7.16</v>
      </c>
      <c r="AE23" s="37">
        <v>7</v>
      </c>
      <c r="AF23" s="37">
        <v>6.98</v>
      </c>
      <c r="AG23" s="100">
        <f t="shared" si="5"/>
        <v>7.626666666666668</v>
      </c>
      <c r="AH23" s="97">
        <f t="shared" si="2"/>
        <v>-0.03470098090918694</v>
      </c>
      <c r="AI23" s="100">
        <v>7.628445688190628</v>
      </c>
      <c r="AJ23" s="97">
        <f t="shared" si="3"/>
        <v>-0.03447581206320527</v>
      </c>
    </row>
    <row r="24" spans="2:36" s="15" customFormat="1" ht="15">
      <c r="B24" s="33">
        <v>2013</v>
      </c>
      <c r="C24" s="13">
        <v>7.28</v>
      </c>
      <c r="D24" s="2">
        <v>7.61</v>
      </c>
      <c r="E24" s="2">
        <v>8.08</v>
      </c>
      <c r="F24" s="2">
        <v>8.44</v>
      </c>
      <c r="G24" s="2">
        <v>8.56</v>
      </c>
      <c r="H24" s="2">
        <v>8.38</v>
      </c>
      <c r="I24" s="2">
        <v>8.33</v>
      </c>
      <c r="J24" s="2">
        <v>8.56</v>
      </c>
      <c r="K24" s="2">
        <v>9.02</v>
      </c>
      <c r="L24" s="2">
        <v>9.43</v>
      </c>
      <c r="M24" s="2">
        <v>9.49</v>
      </c>
      <c r="N24" s="2">
        <v>9.32</v>
      </c>
      <c r="O24" s="8">
        <f aca="true" t="shared" si="7" ref="O24:O30">AVERAGE(C24:N24)</f>
        <v>8.541666666666666</v>
      </c>
      <c r="P24" s="6">
        <f t="shared" si="0"/>
        <v>0.11997377622377603</v>
      </c>
      <c r="Q24" s="8">
        <v>8.662626127371977</v>
      </c>
      <c r="R24" s="6">
        <f t="shared" si="6"/>
        <v>0.1355689587961979</v>
      </c>
      <c r="T24" s="95">
        <v>2013</v>
      </c>
      <c r="U24" s="13">
        <v>7.28</v>
      </c>
      <c r="V24" s="37">
        <v>7.61</v>
      </c>
      <c r="W24" s="37">
        <v>8.08</v>
      </c>
      <c r="X24" s="37">
        <v>8.44</v>
      </c>
      <c r="Y24" s="37">
        <v>8.56</v>
      </c>
      <c r="Z24" s="37">
        <v>8.38</v>
      </c>
      <c r="AA24" s="37">
        <v>8.33</v>
      </c>
      <c r="AB24" s="37">
        <v>8.56</v>
      </c>
      <c r="AC24" s="37">
        <v>9.02</v>
      </c>
      <c r="AD24" s="37">
        <v>9.43</v>
      </c>
      <c r="AE24" s="37">
        <v>9.49</v>
      </c>
      <c r="AF24" s="37">
        <v>9.32</v>
      </c>
      <c r="AG24" s="100">
        <f t="shared" si="5"/>
        <v>8.541666666666666</v>
      </c>
      <c r="AH24" s="97">
        <f t="shared" si="2"/>
        <v>0.11997377622377603</v>
      </c>
      <c r="AI24" s="100">
        <v>8.662626127371977</v>
      </c>
      <c r="AJ24" s="97">
        <f t="shared" si="3"/>
        <v>0.1355689587961979</v>
      </c>
    </row>
    <row r="25" spans="2:36" s="15" customFormat="1" ht="15">
      <c r="B25" s="33">
        <v>2014</v>
      </c>
      <c r="C25" s="13">
        <v>9.76</v>
      </c>
      <c r="D25" s="2">
        <v>10.08</v>
      </c>
      <c r="E25" s="2">
        <v>10.48</v>
      </c>
      <c r="F25" s="2">
        <v>10.56</v>
      </c>
      <c r="G25" s="2">
        <v>10.55</v>
      </c>
      <c r="H25" s="2">
        <v>10.51</v>
      </c>
      <c r="I25" s="2">
        <v>10.18</v>
      </c>
      <c r="J25" s="2">
        <v>9.74</v>
      </c>
      <c r="K25" s="2">
        <v>9.67</v>
      </c>
      <c r="L25" s="2">
        <v>9.21</v>
      </c>
      <c r="M25" s="2">
        <v>9.1</v>
      </c>
      <c r="N25" s="2">
        <v>9.07</v>
      </c>
      <c r="O25" s="8">
        <f t="shared" si="7"/>
        <v>9.909166666666666</v>
      </c>
      <c r="P25" s="6">
        <f aca="true" t="shared" si="8" ref="P25:P30">O25/O24-1</f>
        <v>0.16009756097560968</v>
      </c>
      <c r="Q25" s="8">
        <v>9.846719352444811</v>
      </c>
      <c r="R25" s="6">
        <f t="shared" si="6"/>
        <v>0.1366898683681339</v>
      </c>
      <c r="T25" s="95">
        <v>2014</v>
      </c>
      <c r="U25" s="13">
        <v>9.76</v>
      </c>
      <c r="V25" s="37">
        <v>10.08</v>
      </c>
      <c r="W25" s="37">
        <v>10.48</v>
      </c>
      <c r="X25" s="37">
        <v>10.56</v>
      </c>
      <c r="Y25" s="37">
        <v>10.55</v>
      </c>
      <c r="Z25" s="37">
        <v>10.51</v>
      </c>
      <c r="AA25" s="37">
        <v>10.18</v>
      </c>
      <c r="AB25" s="37">
        <v>9.74</v>
      </c>
      <c r="AC25" s="37">
        <v>9.67</v>
      </c>
      <c r="AD25" s="37">
        <v>9.21</v>
      </c>
      <c r="AE25" s="37">
        <v>9.1</v>
      </c>
      <c r="AF25" s="37">
        <v>9.07</v>
      </c>
      <c r="AG25" s="100">
        <f t="shared" si="5"/>
        <v>9.909166666666666</v>
      </c>
      <c r="AH25" s="97">
        <f t="shared" si="2"/>
        <v>0.16009756097560968</v>
      </c>
      <c r="AI25" s="100">
        <v>9.846719352444811</v>
      </c>
      <c r="AJ25" s="97">
        <f t="shared" si="3"/>
        <v>0.1366898683681339</v>
      </c>
    </row>
    <row r="26" spans="2:36" s="15" customFormat="1" ht="15">
      <c r="B26" s="33">
        <v>2015</v>
      </c>
      <c r="C26" s="13">
        <v>9.011552192809303</v>
      </c>
      <c r="D26" s="2">
        <v>9.143621654539983</v>
      </c>
      <c r="E26" s="2">
        <v>9.128096549397872</v>
      </c>
      <c r="F26" s="2">
        <v>9.003920535570375</v>
      </c>
      <c r="G26" s="2">
        <v>8.571380604789205</v>
      </c>
      <c r="H26" s="2">
        <v>7.900345060053566</v>
      </c>
      <c r="I26" s="2">
        <v>7.6355363897706665</v>
      </c>
      <c r="J26" s="2">
        <v>7.535826773401882</v>
      </c>
      <c r="K26" s="2">
        <v>7.5674003294411385</v>
      </c>
      <c r="L26" s="37">
        <v>7.565713858990738</v>
      </c>
      <c r="M26" s="37">
        <v>7.479836169168218</v>
      </c>
      <c r="N26" s="37">
        <v>7.498672560381347</v>
      </c>
      <c r="O26" s="8">
        <f t="shared" si="7"/>
        <v>8.170158556526191</v>
      </c>
      <c r="P26" s="6">
        <f t="shared" si="8"/>
        <v>-0.1754948895945312</v>
      </c>
      <c r="Q26" s="8">
        <v>8.035237980279808</v>
      </c>
      <c r="R26" s="6">
        <f t="shared" si="6"/>
        <v>-0.18396801079897096</v>
      </c>
      <c r="T26" s="95">
        <v>2015</v>
      </c>
      <c r="U26" s="13">
        <v>9.011552192809303</v>
      </c>
      <c r="V26" s="37">
        <v>9.143621654539983</v>
      </c>
      <c r="W26" s="37">
        <v>9.128096549397872</v>
      </c>
      <c r="X26" s="37">
        <v>9.003920535570375</v>
      </c>
      <c r="Y26" s="37">
        <v>8.571380604789205</v>
      </c>
      <c r="Z26" s="37">
        <v>7.900345060053566</v>
      </c>
      <c r="AA26" s="37">
        <v>7.6355363897706665</v>
      </c>
      <c r="AB26" s="37">
        <v>7.535826773401882</v>
      </c>
      <c r="AC26" s="37">
        <v>7.5674003294411385</v>
      </c>
      <c r="AD26" s="37">
        <v>7.565713858990738</v>
      </c>
      <c r="AE26" s="37">
        <v>7.479836169168218</v>
      </c>
      <c r="AF26" s="37">
        <v>7.498672560381347</v>
      </c>
      <c r="AG26" s="100">
        <f t="shared" si="5"/>
        <v>8.170158556526191</v>
      </c>
      <c r="AH26" s="97">
        <f t="shared" si="2"/>
        <v>-0.1754948895945312</v>
      </c>
      <c r="AI26" s="100">
        <v>8.035237980279808</v>
      </c>
      <c r="AJ26" s="97">
        <f t="shared" si="3"/>
        <v>-0.18396801079897096</v>
      </c>
    </row>
    <row r="27" spans="2:36" s="15" customFormat="1" ht="15">
      <c r="B27" s="33">
        <v>2016</v>
      </c>
      <c r="C27" s="13">
        <v>7.33</v>
      </c>
      <c r="D27" s="2">
        <v>7.49</v>
      </c>
      <c r="E27" s="2">
        <v>7.86</v>
      </c>
      <c r="F27" s="2">
        <v>7.97</v>
      </c>
      <c r="G27" s="52">
        <f>8.06+0.66</f>
        <v>8.72</v>
      </c>
      <c r="H27" s="52">
        <f>8.03+0.63</f>
        <v>8.66</v>
      </c>
      <c r="I27" s="52">
        <f>8.06+0.73</f>
        <v>8.790000000000001</v>
      </c>
      <c r="J27" s="52">
        <f>8.04+0.71</f>
        <v>8.75</v>
      </c>
      <c r="K27" s="2">
        <v>8.75</v>
      </c>
      <c r="L27" s="37">
        <v>8.9</v>
      </c>
      <c r="M27" s="37">
        <v>8.89</v>
      </c>
      <c r="N27" s="37">
        <v>9.03</v>
      </c>
      <c r="O27" s="8">
        <f t="shared" si="7"/>
        <v>8.428333333333333</v>
      </c>
      <c r="P27" s="6">
        <f t="shared" si="8"/>
        <v>0.031599726617412616</v>
      </c>
      <c r="Q27" s="8">
        <v>8.542936660499963</v>
      </c>
      <c r="R27" s="6">
        <f t="shared" si="6"/>
        <v>0.06318402534761969</v>
      </c>
      <c r="T27" s="95">
        <v>2016</v>
      </c>
      <c r="U27" s="115">
        <v>7.33</v>
      </c>
      <c r="V27" s="178">
        <v>7.49</v>
      </c>
      <c r="W27" s="178">
        <v>7.86</v>
      </c>
      <c r="X27" s="178">
        <v>7.97</v>
      </c>
      <c r="Y27" s="178">
        <v>8.72</v>
      </c>
      <c r="Z27" s="178">
        <v>8.66</v>
      </c>
      <c r="AA27" s="178">
        <v>8.790000000000001</v>
      </c>
      <c r="AB27" s="178">
        <v>8.75</v>
      </c>
      <c r="AC27" s="178">
        <v>8.75</v>
      </c>
      <c r="AD27" s="178">
        <v>8.9</v>
      </c>
      <c r="AE27" s="178">
        <v>8.89</v>
      </c>
      <c r="AF27" s="178">
        <v>9.03</v>
      </c>
      <c r="AG27" s="100">
        <f t="shared" si="5"/>
        <v>8.428333333333333</v>
      </c>
      <c r="AH27" s="97">
        <f t="shared" si="2"/>
        <v>0.031599726617412616</v>
      </c>
      <c r="AI27" s="100">
        <v>8.542936660499963</v>
      </c>
      <c r="AJ27" s="97">
        <f t="shared" si="3"/>
        <v>0.06318402534761969</v>
      </c>
    </row>
    <row r="28" spans="2:36" s="65" customFormat="1" ht="15">
      <c r="B28" s="33" t="s">
        <v>23</v>
      </c>
      <c r="C28" s="13">
        <v>9.03</v>
      </c>
      <c r="D28" s="2">
        <v>9.55</v>
      </c>
      <c r="E28" s="2">
        <v>9.87</v>
      </c>
      <c r="F28" s="2">
        <v>10.07</v>
      </c>
      <c r="G28" s="2">
        <v>10.23</v>
      </c>
      <c r="H28" s="2">
        <v>10.13</v>
      </c>
      <c r="I28" s="2">
        <v>9.91</v>
      </c>
      <c r="J28" s="52">
        <f>9.83+0.133336352712638</f>
        <v>9.963336352712638</v>
      </c>
      <c r="K28" s="52">
        <f>9.66+0.133148465216737</f>
        <v>9.793148465216737</v>
      </c>
      <c r="L28" s="52">
        <f>9.61+0.134885288335166</f>
        <v>9.744885288335166</v>
      </c>
      <c r="M28" s="52">
        <f>9.54+0.135598476306146</f>
        <v>9.675598476306146</v>
      </c>
      <c r="N28" s="52">
        <f>9.4+0.134592192182136</f>
        <v>9.534592192182137</v>
      </c>
      <c r="O28" s="8">
        <f t="shared" si="7"/>
        <v>9.791796731229402</v>
      </c>
      <c r="P28" s="6">
        <f t="shared" si="8"/>
        <v>0.16177141363212222</v>
      </c>
      <c r="Q28" s="8">
        <v>9.72202771174144</v>
      </c>
      <c r="R28" s="6">
        <f t="shared" si="6"/>
        <v>0.13801940692048542</v>
      </c>
      <c r="T28" s="95" t="s">
        <v>23</v>
      </c>
      <c r="U28" s="115">
        <v>9.03</v>
      </c>
      <c r="V28" s="178">
        <v>9.55</v>
      </c>
      <c r="W28" s="178">
        <v>9.87</v>
      </c>
      <c r="X28" s="178">
        <v>10.07</v>
      </c>
      <c r="Y28" s="178">
        <v>10.23</v>
      </c>
      <c r="Z28" s="178">
        <v>10.13</v>
      </c>
      <c r="AA28" s="178">
        <v>9.91</v>
      </c>
      <c r="AB28" s="178">
        <v>9.83</v>
      </c>
      <c r="AC28" s="178">
        <v>9.66</v>
      </c>
      <c r="AD28" s="178">
        <v>9.61</v>
      </c>
      <c r="AE28" s="178">
        <v>9.54</v>
      </c>
      <c r="AF28" s="178">
        <v>9.4</v>
      </c>
      <c r="AG28" s="100">
        <f t="shared" si="5"/>
        <v>9.735833333333334</v>
      </c>
      <c r="AH28" s="97">
        <f t="shared" si="2"/>
        <v>0.15513150088985572</v>
      </c>
      <c r="AI28" s="100">
        <v>9.72202771174144</v>
      </c>
      <c r="AJ28" s="97">
        <f t="shared" si="3"/>
        <v>0.13801940692048542</v>
      </c>
    </row>
    <row r="29" spans="2:36" s="65" customFormat="1" ht="15">
      <c r="B29" s="33" t="s">
        <v>28</v>
      </c>
      <c r="C29" s="98">
        <f>9.46+0.139039950468124</f>
        <v>9.599039950468125</v>
      </c>
      <c r="D29" s="52">
        <f>9.64+0.138930836522464</f>
        <v>9.778930836522465</v>
      </c>
      <c r="E29" s="52">
        <f>10.1+0.138686623469436</f>
        <v>10.238686623469436</v>
      </c>
      <c r="F29" s="52">
        <f>9.98+0.142025191074559</f>
        <v>10.12202519107456</v>
      </c>
      <c r="G29" s="52">
        <f>10.23+0.142350674408318</f>
        <v>10.372350674408318</v>
      </c>
      <c r="H29" s="52">
        <f>10.34+0.141409870916245</f>
        <v>10.481409870916245</v>
      </c>
      <c r="I29" s="52">
        <f>10.22+0.140291286642325</f>
        <v>10.360291286642326</v>
      </c>
      <c r="J29" s="37">
        <v>9.98</v>
      </c>
      <c r="K29" s="37">
        <v>9.83</v>
      </c>
      <c r="L29" s="37">
        <v>9.75</v>
      </c>
      <c r="M29" s="37">
        <v>9.43</v>
      </c>
      <c r="N29" s="37">
        <v>9.46</v>
      </c>
      <c r="O29" s="100">
        <f t="shared" si="7"/>
        <v>9.950227869458457</v>
      </c>
      <c r="P29" s="97">
        <f t="shared" si="8"/>
        <v>0.016179986429228466</v>
      </c>
      <c r="Q29" s="100">
        <v>9.933952366454717</v>
      </c>
      <c r="R29" s="97">
        <f t="shared" si="6"/>
        <v>0.021798400600867796</v>
      </c>
      <c r="T29" s="95" t="s">
        <v>28</v>
      </c>
      <c r="U29" s="115">
        <v>9.46</v>
      </c>
      <c r="V29" s="178">
        <v>9.64</v>
      </c>
      <c r="W29" s="178">
        <v>10.1</v>
      </c>
      <c r="X29" s="178">
        <v>9.98</v>
      </c>
      <c r="Y29" s="178">
        <v>10.23</v>
      </c>
      <c r="Z29" s="178">
        <v>10.34</v>
      </c>
      <c r="AA29" s="178">
        <v>10.22</v>
      </c>
      <c r="AB29" s="178">
        <v>9.98</v>
      </c>
      <c r="AC29" s="178">
        <v>9.83</v>
      </c>
      <c r="AD29" s="178">
        <v>9.75</v>
      </c>
      <c r="AE29" s="178">
        <v>9.43</v>
      </c>
      <c r="AF29" s="178">
        <v>9.46</v>
      </c>
      <c r="AG29" s="100">
        <f t="shared" si="5"/>
        <v>9.868333333333334</v>
      </c>
      <c r="AH29" s="97">
        <f t="shared" si="2"/>
        <v>0.01360951810322697</v>
      </c>
      <c r="AI29" s="100">
        <v>9.859834974728523</v>
      </c>
      <c r="AJ29" s="97">
        <f t="shared" si="3"/>
        <v>0.014174744926992</v>
      </c>
    </row>
    <row r="30" spans="2:37" s="39" customFormat="1" ht="15">
      <c r="B30" s="95" t="s">
        <v>52</v>
      </c>
      <c r="C30" s="115">
        <v>9.43</v>
      </c>
      <c r="D30" s="52">
        <f>9.59+0.08</f>
        <v>9.67</v>
      </c>
      <c r="E30" s="52">
        <f>10+0.1</f>
        <v>10.1</v>
      </c>
      <c r="F30" s="52">
        <f>10.41+0.12</f>
        <v>10.53</v>
      </c>
      <c r="G30" s="52">
        <f>10.51+0.11</f>
        <v>10.62</v>
      </c>
      <c r="H30" s="52">
        <f>10.79+0.11</f>
        <v>10.899999999999999</v>
      </c>
      <c r="I30" s="52">
        <f>10.68+0.09</f>
        <v>10.77</v>
      </c>
      <c r="J30" s="52">
        <f>10.94+0.126</f>
        <v>11.065999999999999</v>
      </c>
      <c r="K30" s="52">
        <f>11.1+0.128</f>
        <v>11.228</v>
      </c>
      <c r="L30" s="52">
        <f>11.21+0.13</f>
        <v>11.340000000000002</v>
      </c>
      <c r="M30" s="52">
        <f>11.14+0.131</f>
        <v>11.271</v>
      </c>
      <c r="N30" s="93">
        <f>11.28+0.291+0.131</f>
        <v>11.702</v>
      </c>
      <c r="O30" s="100">
        <f t="shared" si="7"/>
        <v>10.718916666666667</v>
      </c>
      <c r="P30" s="97">
        <f t="shared" si="8"/>
        <v>0.07725338628350897</v>
      </c>
      <c r="Q30" s="100">
        <v>10.799676389857744</v>
      </c>
      <c r="R30" s="97">
        <f>Q30/Q29-1</f>
        <v>0.0871479942189406</v>
      </c>
      <c r="T30" s="95" t="s">
        <v>52</v>
      </c>
      <c r="U30" s="115">
        <v>9.43</v>
      </c>
      <c r="V30" s="178">
        <v>9.59</v>
      </c>
      <c r="W30" s="178">
        <v>10</v>
      </c>
      <c r="X30" s="178">
        <v>10.41</v>
      </c>
      <c r="Y30" s="178">
        <v>10.51</v>
      </c>
      <c r="Z30" s="178">
        <v>10.79</v>
      </c>
      <c r="AA30" s="178">
        <v>10.68</v>
      </c>
      <c r="AB30" s="178">
        <v>10.94</v>
      </c>
      <c r="AC30" s="178">
        <v>11.1</v>
      </c>
      <c r="AD30" s="178">
        <v>11.21</v>
      </c>
      <c r="AE30" s="178">
        <v>11.14</v>
      </c>
      <c r="AF30" s="179">
        <v>11.28</v>
      </c>
      <c r="AG30" s="100">
        <f t="shared" si="5"/>
        <v>10.59</v>
      </c>
      <c r="AH30" s="97">
        <f t="shared" si="2"/>
        <v>0.0731295389292348</v>
      </c>
      <c r="AI30" s="100">
        <v>10.668011308225147</v>
      </c>
      <c r="AJ30" s="97">
        <f>AI30/AI29-1</f>
        <v>0.0819665172457793</v>
      </c>
      <c r="AK30" s="65"/>
    </row>
    <row r="31" spans="2:36" s="105" customFormat="1" ht="15">
      <c r="B31" s="95" t="s">
        <v>58</v>
      </c>
      <c r="C31" s="98">
        <v>12.052000000000001</v>
      </c>
      <c r="D31" s="241">
        <v>12.327</v>
      </c>
      <c r="E31" s="241">
        <v>12.225999999999999</v>
      </c>
      <c r="F31" s="241">
        <v>12.437000000000001</v>
      </c>
      <c r="G31" s="241">
        <v>12.649</v>
      </c>
      <c r="H31" s="242">
        <v>12.28</v>
      </c>
      <c r="I31" s="242">
        <v>12.32</v>
      </c>
      <c r="J31" s="241">
        <v>12.38281762566938</v>
      </c>
      <c r="K31" s="241">
        <v>12.87270053164419</v>
      </c>
      <c r="L31" s="241">
        <v>12.853559696823819</v>
      </c>
      <c r="M31" s="241">
        <v>12.91408255244855</v>
      </c>
      <c r="N31" s="241">
        <v>13.023386609161715</v>
      </c>
      <c r="O31" s="100">
        <f>AVERAGE(C31:N31)</f>
        <v>12.52812891797897</v>
      </c>
      <c r="P31" s="97">
        <f>O31/O30-1</f>
        <v>0.16878685669220017</v>
      </c>
      <c r="Q31" s="100">
        <v>12.560924151964189</v>
      </c>
      <c r="R31" s="97">
        <f>Q31/Q30-1</f>
        <v>0.16308338310585668</v>
      </c>
      <c r="T31" s="95" t="s">
        <v>58</v>
      </c>
      <c r="U31" s="115">
        <v>11.64</v>
      </c>
      <c r="V31" s="242">
        <v>11.92</v>
      </c>
      <c r="W31" s="242">
        <v>12.1</v>
      </c>
      <c r="X31" s="242">
        <v>12.31</v>
      </c>
      <c r="Y31" s="242">
        <v>12.52</v>
      </c>
      <c r="Z31" s="242">
        <v>12.28</v>
      </c>
      <c r="AA31" s="242">
        <v>12.32</v>
      </c>
      <c r="AB31" s="242">
        <v>12.18</v>
      </c>
      <c r="AC31" s="242">
        <v>12.67</v>
      </c>
      <c r="AD31" s="242">
        <v>12.65</v>
      </c>
      <c r="AE31" s="242">
        <v>12.71</v>
      </c>
      <c r="AF31" s="247">
        <v>12.82</v>
      </c>
      <c r="AG31" s="100">
        <f t="shared" si="5"/>
        <v>12.343333333333334</v>
      </c>
      <c r="AH31" s="97">
        <f t="shared" si="2"/>
        <v>0.16556499842618821</v>
      </c>
      <c r="AI31" s="100">
        <v>12.379108707413431</v>
      </c>
      <c r="AJ31" s="97">
        <f>AI31/AI30-1</f>
        <v>0.16039516173637836</v>
      </c>
    </row>
    <row r="32" spans="2:36" s="246" customFormat="1" ht="15.75" thickBot="1">
      <c r="B32" s="243" t="s">
        <v>93</v>
      </c>
      <c r="C32" s="254">
        <v>13.53295692504881</v>
      </c>
      <c r="D32" s="255">
        <v>13.953121174889304</v>
      </c>
      <c r="E32" s="255">
        <v>14.163758744714405</v>
      </c>
      <c r="F32" s="255">
        <v>15.079548290623649</v>
      </c>
      <c r="G32" s="255">
        <v>15.571597445714275</v>
      </c>
      <c r="H32" s="255">
        <v>15.486103435299105</v>
      </c>
      <c r="I32" s="180">
        <v>15.34</v>
      </c>
      <c r="J32" s="253">
        <v>15.349372906443314</v>
      </c>
      <c r="K32" s="253">
        <v>15.178810611542541</v>
      </c>
      <c r="L32" s="253">
        <v>14.953987692448289</v>
      </c>
      <c r="M32" s="253">
        <v>15.331200687413894</v>
      </c>
      <c r="N32" s="253">
        <v>15.467593608280666</v>
      </c>
      <c r="O32" s="244">
        <f>AVERAGE(C32:N32)</f>
        <v>14.95067096020152</v>
      </c>
      <c r="P32" s="245">
        <f>O32/O31-1</f>
        <v>0.19336822426419875</v>
      </c>
      <c r="Q32" s="244">
        <v>15.002166604108181</v>
      </c>
      <c r="R32" s="245">
        <f>Q32/Q31-1</f>
        <v>0.1943521370409873</v>
      </c>
      <c r="T32" s="243" t="s">
        <v>93</v>
      </c>
      <c r="U32" s="256">
        <v>13.33</v>
      </c>
      <c r="V32" s="180">
        <v>13.75</v>
      </c>
      <c r="W32" s="180">
        <v>14</v>
      </c>
      <c r="X32" s="180">
        <v>14.91</v>
      </c>
      <c r="Y32" s="180">
        <v>15.36</v>
      </c>
      <c r="Z32" s="180">
        <v>15.31</v>
      </c>
      <c r="AA32" s="180">
        <v>15.34</v>
      </c>
      <c r="AB32" s="253">
        <v>15.348895707916963</v>
      </c>
      <c r="AC32" s="253">
        <v>15.178810611542541</v>
      </c>
      <c r="AD32" s="253">
        <v>14.951508469961476</v>
      </c>
      <c r="AE32" s="253">
        <v>15.331436005421786</v>
      </c>
      <c r="AF32" s="253">
        <v>15.46718278110621</v>
      </c>
      <c r="AG32" s="244">
        <f>AVERAGE(U32:AF32)</f>
        <v>14.85648613132908</v>
      </c>
      <c r="AH32" s="245">
        <f>AG32/AG31-1</f>
        <v>0.20360406140932308</v>
      </c>
      <c r="AI32" s="244">
        <v>14.919675679688691</v>
      </c>
      <c r="AJ32" s="245">
        <f>AI32/AI31-1</f>
        <v>0.20523020132732173</v>
      </c>
    </row>
    <row r="33" spans="2:37" ht="15">
      <c r="B33" s="62" t="s">
        <v>21</v>
      </c>
      <c r="C33" s="63"/>
      <c r="D33" s="63"/>
      <c r="E33" s="63"/>
      <c r="F33" s="64"/>
      <c r="H33" s="15"/>
      <c r="I33" s="65"/>
      <c r="J33" s="65"/>
      <c r="K33" s="65"/>
      <c r="L33" s="65"/>
      <c r="M33" s="65"/>
      <c r="N33" s="65"/>
      <c r="O33" s="1"/>
      <c r="P33" s="1"/>
      <c r="Q33" s="1"/>
      <c r="T33" s="62" t="s">
        <v>21</v>
      </c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65"/>
      <c r="AF33" s="65"/>
      <c r="AG33" s="1"/>
      <c r="AH33" s="1"/>
      <c r="AI33" s="1"/>
      <c r="AJ33" s="65"/>
      <c r="AK33" s="65"/>
    </row>
    <row r="34" spans="2:37" s="15" customFormat="1" ht="15">
      <c r="B34" s="54"/>
      <c r="C34" s="54"/>
      <c r="D34" s="54"/>
      <c r="E34" s="107"/>
      <c r="F34" s="54"/>
      <c r="G34" s="116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1"/>
      <c r="S34" s="65"/>
      <c r="T34" s="54"/>
      <c r="U34" s="54"/>
      <c r="V34" s="54"/>
      <c r="W34" s="107"/>
      <c r="X34" s="54"/>
      <c r="Y34" s="61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1"/>
      <c r="AK34" s="65"/>
    </row>
    <row r="35" spans="2:36" s="15" customFormat="1" ht="15">
      <c r="B35" s="17"/>
      <c r="C35" s="61"/>
      <c r="D35" s="61"/>
      <c r="E35" s="61"/>
      <c r="F35" s="61"/>
      <c r="G35" s="61"/>
      <c r="H35" s="61"/>
      <c r="I35" s="61"/>
      <c r="J35" s="61"/>
      <c r="K35" s="65"/>
      <c r="L35" s="65"/>
      <c r="M35" s="65"/>
      <c r="N35" s="65"/>
      <c r="O35" s="65"/>
      <c r="P35" s="65"/>
      <c r="Q35" s="61"/>
      <c r="R35" s="61"/>
      <c r="S35" s="61"/>
      <c r="T35" s="61"/>
      <c r="U35" s="61"/>
      <c r="V35" s="61"/>
      <c r="W35" s="61"/>
      <c r="X35" s="54"/>
      <c r="Y35" s="61"/>
      <c r="Z35" s="65"/>
      <c r="AA35" s="61"/>
      <c r="AB35" s="61"/>
      <c r="AC35" s="61"/>
      <c r="AD35" s="61"/>
      <c r="AE35" s="61"/>
      <c r="AF35" s="61"/>
      <c r="AG35" s="61"/>
      <c r="AH35" s="65"/>
      <c r="AI35" s="65"/>
      <c r="AJ35" s="65"/>
    </row>
    <row r="36" spans="2:36" ht="15">
      <c r="B36" s="17" t="s">
        <v>18</v>
      </c>
      <c r="C36" s="1"/>
      <c r="D36" s="1"/>
      <c r="E36" s="1"/>
      <c r="F36" s="1"/>
      <c r="G36" s="1"/>
      <c r="H36" s="1"/>
      <c r="I36" s="1"/>
      <c r="J36" s="1"/>
      <c r="K36" s="21"/>
      <c r="L36" s="21"/>
      <c r="M36" s="1"/>
      <c r="N36" s="1"/>
      <c r="Q36" s="9"/>
      <c r="T36" s="111"/>
      <c r="U36" s="111"/>
      <c r="V36" s="111"/>
      <c r="W36" s="111"/>
      <c r="X36" s="111"/>
      <c r="Y36" s="111"/>
      <c r="Z36" s="111"/>
      <c r="AA36" s="111"/>
      <c r="AB36" s="1"/>
      <c r="AC36" s="29"/>
      <c r="AD36" s="29"/>
      <c r="AE36" s="1"/>
      <c r="AF36" s="1"/>
      <c r="AG36" s="65"/>
      <c r="AH36" s="65"/>
      <c r="AI36" s="74"/>
      <c r="AJ36" s="65"/>
    </row>
    <row r="37" spans="2:36" s="17" customFormat="1" ht="15.75" customHeight="1">
      <c r="B37" s="60"/>
      <c r="C37" s="111" t="s">
        <v>55</v>
      </c>
      <c r="D37" s="110"/>
      <c r="E37" s="110"/>
      <c r="F37" s="110"/>
      <c r="G37" s="110"/>
      <c r="H37" s="110"/>
      <c r="I37" s="110"/>
      <c r="J37" s="110"/>
      <c r="T37" s="111"/>
      <c r="U37" s="111"/>
      <c r="V37" s="111"/>
      <c r="W37" s="111"/>
      <c r="X37" s="111"/>
      <c r="Y37" s="111"/>
      <c r="Z37" s="111"/>
      <c r="AA37" s="111"/>
      <c r="AB37" s="65"/>
      <c r="AC37" s="61"/>
      <c r="AD37" s="61"/>
      <c r="AE37" s="61"/>
      <c r="AF37" s="61"/>
      <c r="AG37" s="61"/>
      <c r="AH37" s="61"/>
      <c r="AI37" s="61"/>
      <c r="AJ37" s="61"/>
    </row>
    <row r="38" spans="2:36" s="15" customFormat="1" ht="15.75" customHeight="1">
      <c r="B38" s="49"/>
      <c r="C38" s="110" t="s">
        <v>53</v>
      </c>
      <c r="D38" s="110"/>
      <c r="E38" s="110"/>
      <c r="F38" s="110"/>
      <c r="G38" s="110"/>
      <c r="H38" s="110"/>
      <c r="I38" s="110"/>
      <c r="J38" s="110"/>
      <c r="Q38" s="10"/>
      <c r="T38" s="65"/>
      <c r="U38" s="65"/>
      <c r="V38" s="65"/>
      <c r="W38" s="65"/>
      <c r="X38" s="65"/>
      <c r="Y38" s="65"/>
      <c r="Z38" s="65"/>
      <c r="AA38" s="65"/>
      <c r="AB38" s="65"/>
      <c r="AC38" s="111"/>
      <c r="AD38" s="61"/>
      <c r="AE38" s="61"/>
      <c r="AF38" s="61"/>
      <c r="AG38" s="61"/>
      <c r="AH38" s="51"/>
      <c r="AI38" s="65"/>
      <c r="AJ38" s="61"/>
    </row>
    <row r="39" spans="2:36" s="17" customFormat="1" ht="15.75" customHeight="1">
      <c r="B39" s="67"/>
      <c r="C39" s="110" t="s">
        <v>54</v>
      </c>
      <c r="D39" s="110"/>
      <c r="E39" s="110"/>
      <c r="F39" s="110"/>
      <c r="G39" s="110"/>
      <c r="H39" s="110"/>
      <c r="I39" s="110"/>
      <c r="J39" s="110"/>
      <c r="M39" s="61"/>
      <c r="N39" s="61"/>
      <c r="O39" s="61"/>
      <c r="P39" s="43"/>
      <c r="Q39" s="15"/>
      <c r="R39" s="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</row>
    <row r="40" spans="1:18" s="15" customFormat="1" ht="36" customHeight="1" thickBot="1">
      <c r="A40" s="42"/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</row>
    <row r="41" spans="2:31" s="185" customFormat="1" ht="21" customHeight="1" thickBot="1">
      <c r="B41" s="187"/>
      <c r="E41" s="280" t="s">
        <v>90</v>
      </c>
      <c r="F41" s="281"/>
      <c r="G41" s="281"/>
      <c r="H41" s="281"/>
      <c r="I41" s="281"/>
      <c r="J41" s="281"/>
      <c r="K41" s="281"/>
      <c r="L41" s="281"/>
      <c r="M41" s="282"/>
      <c r="T41" s="187"/>
      <c r="W41" s="283" t="s">
        <v>91</v>
      </c>
      <c r="X41" s="284"/>
      <c r="Y41" s="284"/>
      <c r="Z41" s="284"/>
      <c r="AA41" s="284"/>
      <c r="AB41" s="284"/>
      <c r="AC41" s="284"/>
      <c r="AD41" s="284"/>
      <c r="AE41" s="285"/>
    </row>
    <row r="42" spans="2:36" s="15" customFormat="1" ht="15.75" thickBot="1">
      <c r="B42" s="32"/>
      <c r="I42" s="25"/>
      <c r="J42" s="25"/>
      <c r="K42" s="25"/>
      <c r="T42" s="32"/>
      <c r="U42" s="65"/>
      <c r="V42" s="65"/>
      <c r="W42" s="65"/>
      <c r="X42" s="65"/>
      <c r="Y42" s="65"/>
      <c r="Z42" s="65"/>
      <c r="AA42" s="25"/>
      <c r="AB42" s="25"/>
      <c r="AC42" s="25"/>
      <c r="AD42" s="65"/>
      <c r="AE42" s="65"/>
      <c r="AF42" s="65"/>
      <c r="AG42" s="65"/>
      <c r="AH42" s="65"/>
      <c r="AI42" s="65"/>
      <c r="AJ42" s="65"/>
    </row>
    <row r="43" spans="2:37" s="55" customFormat="1" ht="30" customHeight="1" thickBot="1">
      <c r="B43" s="59" t="s">
        <v>13</v>
      </c>
      <c r="C43" s="56" t="s">
        <v>1</v>
      </c>
      <c r="D43" s="56" t="s">
        <v>2</v>
      </c>
      <c r="E43" s="56" t="s">
        <v>3</v>
      </c>
      <c r="F43" s="56" t="s">
        <v>4</v>
      </c>
      <c r="G43" s="56" t="s">
        <v>5</v>
      </c>
      <c r="H43" s="56" t="s">
        <v>6</v>
      </c>
      <c r="I43" s="56" t="s">
        <v>7</v>
      </c>
      <c r="J43" s="56" t="s">
        <v>8</v>
      </c>
      <c r="K43" s="56" t="s">
        <v>9</v>
      </c>
      <c r="L43" s="56" t="s">
        <v>10</v>
      </c>
      <c r="M43" s="56" t="s">
        <v>11</v>
      </c>
      <c r="N43" s="56" t="s">
        <v>12</v>
      </c>
      <c r="O43" s="57" t="s">
        <v>25</v>
      </c>
      <c r="P43" s="58" t="s">
        <v>24</v>
      </c>
      <c r="Q43" s="57" t="s">
        <v>26</v>
      </c>
      <c r="R43" s="58" t="s">
        <v>24</v>
      </c>
      <c r="T43" s="59" t="s">
        <v>13</v>
      </c>
      <c r="U43" s="56" t="s">
        <v>1</v>
      </c>
      <c r="V43" s="56" t="s">
        <v>2</v>
      </c>
      <c r="W43" s="56" t="s">
        <v>3</v>
      </c>
      <c r="X43" s="56" t="s">
        <v>4</v>
      </c>
      <c r="Y43" s="56" t="s">
        <v>5</v>
      </c>
      <c r="Z43" s="56" t="s">
        <v>6</v>
      </c>
      <c r="AA43" s="56" t="s">
        <v>7</v>
      </c>
      <c r="AB43" s="56" t="s">
        <v>8</v>
      </c>
      <c r="AC43" s="56" t="s">
        <v>9</v>
      </c>
      <c r="AD43" s="56" t="s">
        <v>10</v>
      </c>
      <c r="AE43" s="56" t="s">
        <v>11</v>
      </c>
      <c r="AF43" s="56" t="s">
        <v>12</v>
      </c>
      <c r="AG43" s="57" t="s">
        <v>25</v>
      </c>
      <c r="AH43" s="58" t="s">
        <v>24</v>
      </c>
      <c r="AI43" s="57" t="s">
        <v>26</v>
      </c>
      <c r="AJ43" s="58" t="s">
        <v>24</v>
      </c>
      <c r="AK43" s="15"/>
    </row>
    <row r="44" spans="2:37" ht="15">
      <c r="B44" s="33">
        <v>2002</v>
      </c>
      <c r="C44" s="2">
        <v>0.12837244513862223</v>
      </c>
      <c r="D44" s="2">
        <v>0.13241341314473382</v>
      </c>
      <c r="E44" s="2">
        <v>0.13444944073528586</v>
      </c>
      <c r="F44" s="2">
        <v>0.13386664897682404</v>
      </c>
      <c r="G44" s="2">
        <v>0.12846626333542122</v>
      </c>
      <c r="H44" s="2">
        <v>0.12339607478691068</v>
      </c>
      <c r="I44" s="2">
        <v>0.09769322749005532</v>
      </c>
      <c r="J44" s="2">
        <v>0.09165586645900739</v>
      </c>
      <c r="K44" s="2">
        <v>0.08337944132211486</v>
      </c>
      <c r="L44" s="2">
        <v>0.1028874416234941</v>
      </c>
      <c r="M44" s="2">
        <v>0.09234319985285579</v>
      </c>
      <c r="N44" s="2">
        <v>0.0997874526109284</v>
      </c>
      <c r="O44" s="8">
        <f>AVERAGE(C44:N44)</f>
        <v>0.11239257628968781</v>
      </c>
      <c r="P44" s="5"/>
      <c r="Q44" s="8">
        <v>0.11106887685921596</v>
      </c>
      <c r="R44" s="5"/>
      <c r="T44" s="95">
        <v>2002</v>
      </c>
      <c r="U44" s="37">
        <v>0.12837244513862223</v>
      </c>
      <c r="V44" s="37">
        <v>0.13241341314473382</v>
      </c>
      <c r="W44" s="37">
        <v>0.13444944073528586</v>
      </c>
      <c r="X44" s="37">
        <v>0.13386664897682404</v>
      </c>
      <c r="Y44" s="37">
        <v>0.12846626333542122</v>
      </c>
      <c r="Z44" s="37">
        <v>0.12339607478691068</v>
      </c>
      <c r="AA44" s="37">
        <v>0.09769322749005532</v>
      </c>
      <c r="AB44" s="37">
        <v>0.09165586645900739</v>
      </c>
      <c r="AC44" s="37">
        <v>0.08337944132211486</v>
      </c>
      <c r="AD44" s="37">
        <v>0.1028874416234941</v>
      </c>
      <c r="AE44" s="37">
        <v>0.09234319985285579</v>
      </c>
      <c r="AF44" s="37">
        <v>0.0997874526109284</v>
      </c>
      <c r="AG44" s="100">
        <f>AVERAGE(U44:AF44)</f>
        <v>0.11239257628968781</v>
      </c>
      <c r="AH44" s="5"/>
      <c r="AI44" s="100">
        <v>0.11106887685921596</v>
      </c>
      <c r="AJ44" s="5"/>
      <c r="AK44" s="55"/>
    </row>
    <row r="45" spans="2:36" ht="15">
      <c r="B45" s="33">
        <v>2003</v>
      </c>
      <c r="C45" s="2">
        <v>0.09776529877204204</v>
      </c>
      <c r="D45" s="2">
        <v>0.10278486484121309</v>
      </c>
      <c r="E45" s="2">
        <v>0.11897137151988924</v>
      </c>
      <c r="F45" s="2">
        <v>0.12044267304157817</v>
      </c>
      <c r="G45" s="2">
        <v>0.11951940768321596</v>
      </c>
      <c r="H45" s="2">
        <v>0.14556341567739003</v>
      </c>
      <c r="I45" s="2">
        <v>0.142466768520356</v>
      </c>
      <c r="J45" s="2">
        <v>0.13770810978575443</v>
      </c>
      <c r="K45" s="2">
        <v>0.1369577403042406</v>
      </c>
      <c r="L45" s="2">
        <v>0.13373764130532642</v>
      </c>
      <c r="M45" s="2">
        <v>0.1296925545393883</v>
      </c>
      <c r="N45" s="2">
        <v>0.12726941438463188</v>
      </c>
      <c r="O45" s="8">
        <f>AVERAGE(C45:N45)</f>
        <v>0.12607327169791885</v>
      </c>
      <c r="P45" s="6">
        <f aca="true" t="shared" si="9" ref="P45:R53">O45/O44-1</f>
        <v>0.12172241138924988</v>
      </c>
      <c r="Q45" s="8">
        <v>0.12691891171452033</v>
      </c>
      <c r="R45" s="6">
        <f t="shared" si="9"/>
        <v>0.14270455687955574</v>
      </c>
      <c r="T45" s="95">
        <v>2003</v>
      </c>
      <c r="U45" s="37">
        <v>0.09776529877204204</v>
      </c>
      <c r="V45" s="37">
        <v>0.10278486484121309</v>
      </c>
      <c r="W45" s="37">
        <v>0.11897137151988924</v>
      </c>
      <c r="X45" s="37">
        <v>0.12044267304157817</v>
      </c>
      <c r="Y45" s="37">
        <v>0.11951940768321596</v>
      </c>
      <c r="Z45" s="37">
        <v>0.14556341567739003</v>
      </c>
      <c r="AA45" s="37">
        <v>0.142466768520356</v>
      </c>
      <c r="AB45" s="37">
        <v>0.13770810978575443</v>
      </c>
      <c r="AC45" s="37">
        <v>0.1369577403042406</v>
      </c>
      <c r="AD45" s="37">
        <v>0.13373764130532642</v>
      </c>
      <c r="AE45" s="37">
        <v>0.1296925545393883</v>
      </c>
      <c r="AF45" s="37">
        <v>0.12726941438463188</v>
      </c>
      <c r="AG45" s="100">
        <f>AVERAGE(U45:AF45)</f>
        <v>0.12607327169791885</v>
      </c>
      <c r="AH45" s="97">
        <f aca="true" t="shared" si="10" ref="AH45:AH59">AG45/AG44-1</f>
        <v>0.12172241138924988</v>
      </c>
      <c r="AI45" s="100">
        <v>0.12691891171452033</v>
      </c>
      <c r="AJ45" s="97">
        <f aca="true" t="shared" si="11" ref="AJ45:AJ60">AI45/AI44-1</f>
        <v>0.14270455687955574</v>
      </c>
    </row>
    <row r="46" spans="2:36" ht="15">
      <c r="B46" s="33">
        <v>2004</v>
      </c>
      <c r="C46" s="2">
        <v>0.12953558976660073</v>
      </c>
      <c r="D46" s="2">
        <v>0.13193846100405618</v>
      </c>
      <c r="E46" s="2">
        <v>0.1392901173508831</v>
      </c>
      <c r="F46" s="2">
        <v>0.14172130909647526</v>
      </c>
      <c r="G46" s="2">
        <v>0.1475264560175348</v>
      </c>
      <c r="H46" s="2">
        <v>0.14589342545501408</v>
      </c>
      <c r="I46" s="2">
        <v>0.14564443939719426</v>
      </c>
      <c r="J46" s="2">
        <v>0.14676342204048143</v>
      </c>
      <c r="K46" s="2">
        <v>0.15385852493726535</v>
      </c>
      <c r="L46" s="2">
        <v>0.15704369207147786</v>
      </c>
      <c r="M46" s="2">
        <v>0.15563110920526183</v>
      </c>
      <c r="N46" s="2">
        <v>0.1540620625410792</v>
      </c>
      <c r="O46" s="8">
        <f aca="true" t="shared" si="12" ref="O46:O54">AVERAGE(C46:N46)</f>
        <v>0.14574238407361031</v>
      </c>
      <c r="P46" s="6">
        <f t="shared" si="9"/>
        <v>0.1560133413751661</v>
      </c>
      <c r="Q46" s="8">
        <v>0.14691818383174368</v>
      </c>
      <c r="R46" s="6">
        <f t="shared" si="9"/>
        <v>0.15757519385454444</v>
      </c>
      <c r="T46" s="95">
        <v>2004</v>
      </c>
      <c r="U46" s="37">
        <v>0.12953558976660073</v>
      </c>
      <c r="V46" s="37">
        <v>0.13193846100405618</v>
      </c>
      <c r="W46" s="37">
        <v>0.1392901173508831</v>
      </c>
      <c r="X46" s="37">
        <v>0.14172130909647526</v>
      </c>
      <c r="Y46" s="37">
        <v>0.1475264560175348</v>
      </c>
      <c r="Z46" s="37">
        <v>0.14589342545501408</v>
      </c>
      <c r="AA46" s="37">
        <v>0.14564443939719426</v>
      </c>
      <c r="AB46" s="37">
        <v>0.14676342204048143</v>
      </c>
      <c r="AC46" s="37">
        <v>0.15385852493726535</v>
      </c>
      <c r="AD46" s="37">
        <v>0.15704369207147786</v>
      </c>
      <c r="AE46" s="37">
        <v>0.15563110920526183</v>
      </c>
      <c r="AF46" s="37">
        <v>0.1540620625410792</v>
      </c>
      <c r="AG46" s="100">
        <f aca="true" t="shared" si="13" ref="AG46:AG62">AVERAGE(U46:AF46)</f>
        <v>0.14574238407361031</v>
      </c>
      <c r="AH46" s="97">
        <f t="shared" si="10"/>
        <v>0.1560133413751661</v>
      </c>
      <c r="AI46" s="100">
        <v>0.14691818383174368</v>
      </c>
      <c r="AJ46" s="97">
        <f t="shared" si="11"/>
        <v>0.15757519385454444</v>
      </c>
    </row>
    <row r="47" spans="2:36" ht="15">
      <c r="B47" s="33">
        <v>2005</v>
      </c>
      <c r="C47" s="2">
        <v>0.16157886664731574</v>
      </c>
      <c r="D47" s="2">
        <v>0.1662808189155479</v>
      </c>
      <c r="E47" s="2">
        <v>0.16690059246344627</v>
      </c>
      <c r="F47" s="2">
        <v>0.17445563555498367</v>
      </c>
      <c r="G47" s="2">
        <v>0.17762111465536157</v>
      </c>
      <c r="H47" s="2">
        <v>0.17870282166228868</v>
      </c>
      <c r="I47" s="2">
        <v>0.17446722316410188</v>
      </c>
      <c r="J47" s="2">
        <v>0.16914611309600416</v>
      </c>
      <c r="K47" s="2">
        <v>0.1752991512113</v>
      </c>
      <c r="L47" s="2">
        <v>0.17651084225261457</v>
      </c>
      <c r="M47" s="2">
        <v>0.177132176591586</v>
      </c>
      <c r="N47" s="2">
        <v>0.17543486228191038</v>
      </c>
      <c r="O47" s="8">
        <f t="shared" si="12"/>
        <v>0.17279418487470508</v>
      </c>
      <c r="P47" s="6">
        <f t="shared" si="9"/>
        <v>0.18561382107919733</v>
      </c>
      <c r="Q47" s="8">
        <v>0.1731995975211804</v>
      </c>
      <c r="R47" s="6">
        <f t="shared" si="9"/>
        <v>0.17888468945093394</v>
      </c>
      <c r="T47" s="95">
        <v>2005</v>
      </c>
      <c r="U47" s="37">
        <v>0.16157886664731574</v>
      </c>
      <c r="V47" s="37">
        <v>0.1662808189155479</v>
      </c>
      <c r="W47" s="37">
        <v>0.16690059246344627</v>
      </c>
      <c r="X47" s="37">
        <v>0.17445563555498367</v>
      </c>
      <c r="Y47" s="37">
        <v>0.17762111465536157</v>
      </c>
      <c r="Z47" s="37">
        <v>0.17870282166228868</v>
      </c>
      <c r="AA47" s="37">
        <v>0.17446722316410188</v>
      </c>
      <c r="AB47" s="37">
        <v>0.16914611309600416</v>
      </c>
      <c r="AC47" s="37">
        <v>0.1752991512113</v>
      </c>
      <c r="AD47" s="37">
        <v>0.17651084225261457</v>
      </c>
      <c r="AE47" s="37">
        <v>0.177132176591586</v>
      </c>
      <c r="AF47" s="37">
        <v>0.17543486228191038</v>
      </c>
      <c r="AG47" s="100">
        <f t="shared" si="13"/>
        <v>0.17279418487470508</v>
      </c>
      <c r="AH47" s="97">
        <f t="shared" si="10"/>
        <v>0.18561382107919733</v>
      </c>
      <c r="AI47" s="100">
        <v>0.1731995975211804</v>
      </c>
      <c r="AJ47" s="97">
        <f t="shared" si="11"/>
        <v>0.17888468945093394</v>
      </c>
    </row>
    <row r="48" spans="2:36" ht="15">
      <c r="B48" s="33">
        <v>2006</v>
      </c>
      <c r="C48" s="2">
        <v>0.1647142344296027</v>
      </c>
      <c r="D48" s="2">
        <v>0.16819890076970956</v>
      </c>
      <c r="E48" s="2">
        <v>0.1820384905894126</v>
      </c>
      <c r="F48" s="2">
        <v>0.18614346683187652</v>
      </c>
      <c r="G48" s="2">
        <v>0.18639537302011763</v>
      </c>
      <c r="H48" s="2">
        <v>0.1851383147467502</v>
      </c>
      <c r="I48" s="2">
        <v>0.18173798709303413</v>
      </c>
      <c r="J48" s="2">
        <v>0.1737129187275993</v>
      </c>
      <c r="K48" s="2">
        <v>0.1616489420940262</v>
      </c>
      <c r="L48" s="2">
        <v>0.16026812199033505</v>
      </c>
      <c r="M48" s="2">
        <v>0.1566847829256548</v>
      </c>
      <c r="N48" s="2">
        <v>0.1522188340429774</v>
      </c>
      <c r="O48" s="8">
        <f t="shared" si="12"/>
        <v>0.17157503060509136</v>
      </c>
      <c r="P48" s="6">
        <f t="shared" si="9"/>
        <v>-0.007055528347193807</v>
      </c>
      <c r="Q48" s="8">
        <v>0.1700557845632402</v>
      </c>
      <c r="R48" s="6">
        <f t="shared" si="9"/>
        <v>-0.018151387202592906</v>
      </c>
      <c r="T48" s="95">
        <v>2006</v>
      </c>
      <c r="U48" s="37">
        <v>0.1647142344296027</v>
      </c>
      <c r="V48" s="37">
        <v>0.16819890076970956</v>
      </c>
      <c r="W48" s="37">
        <v>0.1820384905894126</v>
      </c>
      <c r="X48" s="37">
        <v>0.18614346683187652</v>
      </c>
      <c r="Y48" s="37">
        <v>0.18639537302011763</v>
      </c>
      <c r="Z48" s="37">
        <v>0.1851383147467502</v>
      </c>
      <c r="AA48" s="37">
        <v>0.18173798709303413</v>
      </c>
      <c r="AB48" s="37">
        <v>0.1737129187275993</v>
      </c>
      <c r="AC48" s="37">
        <v>0.1616489420940262</v>
      </c>
      <c r="AD48" s="37">
        <v>0.16026812199033505</v>
      </c>
      <c r="AE48" s="37">
        <v>0.1566847829256548</v>
      </c>
      <c r="AF48" s="37">
        <v>0.1522188340429774</v>
      </c>
      <c r="AG48" s="100">
        <f t="shared" si="13"/>
        <v>0.17157503060509136</v>
      </c>
      <c r="AH48" s="97">
        <f t="shared" si="10"/>
        <v>-0.007055528347193807</v>
      </c>
      <c r="AI48" s="100">
        <v>0.1700557845632402</v>
      </c>
      <c r="AJ48" s="97">
        <f t="shared" si="11"/>
        <v>-0.018151387202592906</v>
      </c>
    </row>
    <row r="49" spans="2:36" ht="15">
      <c r="B49" s="33">
        <v>2007</v>
      </c>
      <c r="C49" s="2">
        <v>0.17272231732723564</v>
      </c>
      <c r="D49" s="2">
        <v>0.1781864348064183</v>
      </c>
      <c r="E49" s="2">
        <v>0.20204931747849686</v>
      </c>
      <c r="F49" s="2">
        <v>0.21558603522483252</v>
      </c>
      <c r="G49" s="2">
        <v>0.24594891895355725</v>
      </c>
      <c r="H49" s="2">
        <v>0.24483081494693842</v>
      </c>
      <c r="I49" s="2">
        <v>0.24209487127164267</v>
      </c>
      <c r="J49" s="2">
        <v>0.276</v>
      </c>
      <c r="K49" s="2">
        <v>0.3115060240963856</v>
      </c>
      <c r="L49" s="2">
        <v>0.3308</v>
      </c>
      <c r="M49" s="2">
        <v>0.331</v>
      </c>
      <c r="N49" s="2">
        <v>0.3474</v>
      </c>
      <c r="O49" s="8">
        <f t="shared" si="12"/>
        <v>0.25817706117545897</v>
      </c>
      <c r="P49" s="6">
        <f t="shared" si="9"/>
        <v>0.5047472832436597</v>
      </c>
      <c r="Q49" s="8">
        <v>0.2660766968118572</v>
      </c>
      <c r="R49" s="6">
        <f t="shared" si="9"/>
        <v>0.5646436108905712</v>
      </c>
      <c r="T49" s="95">
        <v>2007</v>
      </c>
      <c r="U49" s="37">
        <v>0.17272231732723564</v>
      </c>
      <c r="V49" s="37">
        <v>0.1781864348064183</v>
      </c>
      <c r="W49" s="37">
        <v>0.20204931747849686</v>
      </c>
      <c r="X49" s="37">
        <v>0.21558603522483252</v>
      </c>
      <c r="Y49" s="37">
        <v>0.24594891895355725</v>
      </c>
      <c r="Z49" s="37">
        <v>0.24483081494693842</v>
      </c>
      <c r="AA49" s="37">
        <v>0.24209487127164267</v>
      </c>
      <c r="AB49" s="37">
        <v>0.276</v>
      </c>
      <c r="AC49" s="37">
        <v>0.3115060240963856</v>
      </c>
      <c r="AD49" s="37">
        <v>0.3308</v>
      </c>
      <c r="AE49" s="37">
        <v>0.331</v>
      </c>
      <c r="AF49" s="37">
        <v>0.3474</v>
      </c>
      <c r="AG49" s="100">
        <f t="shared" si="13"/>
        <v>0.25817706117545897</v>
      </c>
      <c r="AH49" s="97">
        <f t="shared" si="10"/>
        <v>0.5047472832436597</v>
      </c>
      <c r="AI49" s="100">
        <v>0.2660766968118572</v>
      </c>
      <c r="AJ49" s="97">
        <f t="shared" si="11"/>
        <v>0.5646436108905712</v>
      </c>
    </row>
    <row r="50" spans="2:36" ht="15">
      <c r="B50" s="33">
        <v>2008</v>
      </c>
      <c r="C50" s="2">
        <v>0.3767</v>
      </c>
      <c r="D50" s="2">
        <v>0.3892</v>
      </c>
      <c r="E50" s="2">
        <v>0.4028295469835496</v>
      </c>
      <c r="F50" s="2">
        <v>0.4279335774845733</v>
      </c>
      <c r="G50" s="2">
        <v>0.4271913052229043</v>
      </c>
      <c r="H50" s="2">
        <v>0.4360315994665025</v>
      </c>
      <c r="I50" s="2">
        <v>0.41554124246831503</v>
      </c>
      <c r="J50" s="2">
        <v>0.3732408960332413</v>
      </c>
      <c r="K50" s="2">
        <v>0.3074813944379162</v>
      </c>
      <c r="L50" s="2">
        <v>0.24200973566492898</v>
      </c>
      <c r="M50" s="2">
        <v>0.20830388638218628</v>
      </c>
      <c r="N50" s="2">
        <v>0.1954584650761713</v>
      </c>
      <c r="O50" s="8">
        <f t="shared" si="12"/>
        <v>0.3501601374350241</v>
      </c>
      <c r="P50" s="6">
        <f t="shared" si="9"/>
        <v>0.356279042920288</v>
      </c>
      <c r="Q50" s="8">
        <v>0.33952464426129</v>
      </c>
      <c r="R50" s="6">
        <f t="shared" si="9"/>
        <v>0.2760405113619093</v>
      </c>
      <c r="T50" s="95">
        <v>2008</v>
      </c>
      <c r="U50" s="37">
        <v>0.3767</v>
      </c>
      <c r="V50" s="37">
        <v>0.3892</v>
      </c>
      <c r="W50" s="37">
        <v>0.4028295469835496</v>
      </c>
      <c r="X50" s="37">
        <v>0.4279335774845733</v>
      </c>
      <c r="Y50" s="37">
        <v>0.4271913052229043</v>
      </c>
      <c r="Z50" s="37">
        <v>0.4360315994665025</v>
      </c>
      <c r="AA50" s="37">
        <v>0.41554124246831503</v>
      </c>
      <c r="AB50" s="37">
        <v>0.3732408960332413</v>
      </c>
      <c r="AC50" s="37">
        <v>0.3074813944379162</v>
      </c>
      <c r="AD50" s="37">
        <v>0.24200973566492898</v>
      </c>
      <c r="AE50" s="37">
        <v>0.20830388638218628</v>
      </c>
      <c r="AF50" s="37">
        <v>0.1954584650761713</v>
      </c>
      <c r="AG50" s="100">
        <f t="shared" si="13"/>
        <v>0.3501601374350241</v>
      </c>
      <c r="AH50" s="97">
        <f t="shared" si="10"/>
        <v>0.356279042920288</v>
      </c>
      <c r="AI50" s="100">
        <v>0.33952464426129</v>
      </c>
      <c r="AJ50" s="97">
        <f t="shared" si="11"/>
        <v>0.2760405113619093</v>
      </c>
    </row>
    <row r="51" spans="2:36" ht="15">
      <c r="B51" s="33">
        <v>2009</v>
      </c>
      <c r="C51" s="2">
        <v>0.19793902962644913</v>
      </c>
      <c r="D51" s="2">
        <v>0.20430107526881722</v>
      </c>
      <c r="E51" s="2">
        <v>0.20183486238532108</v>
      </c>
      <c r="F51" s="2">
        <v>0.20262117744955274</v>
      </c>
      <c r="G51" s="2">
        <v>0.21668474053418127</v>
      </c>
      <c r="H51" s="2">
        <v>0.22358260657108064</v>
      </c>
      <c r="I51" s="2">
        <v>0.2223604731545119</v>
      </c>
      <c r="J51" s="2">
        <v>0.2166112375284439</v>
      </c>
      <c r="K51" s="2">
        <v>0.22969647251845776</v>
      </c>
      <c r="L51" s="2">
        <v>0.24354058847344637</v>
      </c>
      <c r="M51" s="2">
        <v>0.2854210449147158</v>
      </c>
      <c r="N51" s="2">
        <v>0.2801603816677663</v>
      </c>
      <c r="O51" s="8">
        <f t="shared" si="12"/>
        <v>0.22706280750772867</v>
      </c>
      <c r="P51" s="6">
        <f t="shared" si="9"/>
        <v>-0.35154581223608705</v>
      </c>
      <c r="Q51" s="8">
        <v>0.23022280320086075</v>
      </c>
      <c r="R51" s="6">
        <f t="shared" si="9"/>
        <v>-0.32192608963110547</v>
      </c>
      <c r="T51" s="95">
        <v>2009</v>
      </c>
      <c r="U51" s="37">
        <v>0.19793902962644913</v>
      </c>
      <c r="V51" s="37">
        <v>0.20430107526881722</v>
      </c>
      <c r="W51" s="37">
        <v>0.20183486238532108</v>
      </c>
      <c r="X51" s="37">
        <v>0.20262117744955274</v>
      </c>
      <c r="Y51" s="37">
        <v>0.21668474053418127</v>
      </c>
      <c r="Z51" s="37">
        <v>0.22358260657108064</v>
      </c>
      <c r="AA51" s="37">
        <v>0.2223604731545119</v>
      </c>
      <c r="AB51" s="37">
        <v>0.2166112375284439</v>
      </c>
      <c r="AC51" s="37">
        <v>0.22969647251845776</v>
      </c>
      <c r="AD51" s="37">
        <v>0.24354058847344637</v>
      </c>
      <c r="AE51" s="37">
        <v>0.2854210449147158</v>
      </c>
      <c r="AF51" s="37">
        <v>0.2801603816677663</v>
      </c>
      <c r="AG51" s="100">
        <f t="shared" si="13"/>
        <v>0.22706280750772867</v>
      </c>
      <c r="AH51" s="97">
        <f t="shared" si="10"/>
        <v>-0.35154581223608705</v>
      </c>
      <c r="AI51" s="100">
        <v>0.23022280320086075</v>
      </c>
      <c r="AJ51" s="97">
        <f t="shared" si="11"/>
        <v>-0.32192608963110547</v>
      </c>
    </row>
    <row r="52" spans="2:36" ht="15">
      <c r="B52" s="33">
        <v>2010</v>
      </c>
      <c r="C52" s="2">
        <v>0.28384066471591696</v>
      </c>
      <c r="D52" s="2">
        <v>0.3020337954062532</v>
      </c>
      <c r="E52" s="2">
        <v>0.32179101433015445</v>
      </c>
      <c r="F52" s="2">
        <v>0.3374677002583979</v>
      </c>
      <c r="G52" s="2">
        <v>0.34004776243380747</v>
      </c>
      <c r="H52" s="2">
        <v>0.31825959423123934</v>
      </c>
      <c r="I52" s="2">
        <v>0.3086478285605917</v>
      </c>
      <c r="J52" s="2">
        <v>0.3168895920226281</v>
      </c>
      <c r="K52" s="2">
        <v>0.31663424124513617</v>
      </c>
      <c r="L52" s="2">
        <v>0.3255008656937917</v>
      </c>
      <c r="M52" s="2">
        <v>0.32560236437409207</v>
      </c>
      <c r="N52" s="2">
        <v>0.3414267834793492</v>
      </c>
      <c r="O52" s="8">
        <f t="shared" si="12"/>
        <v>0.31984518389594646</v>
      </c>
      <c r="P52" s="6">
        <f t="shared" si="9"/>
        <v>0.4086198766174407</v>
      </c>
      <c r="Q52" s="8">
        <v>0.3201842598821599</v>
      </c>
      <c r="R52" s="6">
        <f t="shared" si="9"/>
        <v>0.39075823693629164</v>
      </c>
      <c r="T52" s="95">
        <v>2010</v>
      </c>
      <c r="U52" s="37">
        <v>0.28384066471591696</v>
      </c>
      <c r="V52" s="37">
        <v>0.3020337954062532</v>
      </c>
      <c r="W52" s="37">
        <v>0.32179101433015445</v>
      </c>
      <c r="X52" s="37">
        <v>0.3374677002583979</v>
      </c>
      <c r="Y52" s="37">
        <v>0.34004776243380747</v>
      </c>
      <c r="Z52" s="37">
        <v>0.31825959423123934</v>
      </c>
      <c r="AA52" s="37">
        <v>0.3086478285605917</v>
      </c>
      <c r="AB52" s="37">
        <v>0.3168895920226281</v>
      </c>
      <c r="AC52" s="37">
        <v>0.31663424124513617</v>
      </c>
      <c r="AD52" s="37">
        <v>0.3255008656937917</v>
      </c>
      <c r="AE52" s="37">
        <v>0.32560236437409207</v>
      </c>
      <c r="AF52" s="37">
        <v>0.3414267834793492</v>
      </c>
      <c r="AG52" s="100">
        <f t="shared" si="13"/>
        <v>0.31984518389594646</v>
      </c>
      <c r="AH52" s="97">
        <f t="shared" si="10"/>
        <v>0.4086198766174407</v>
      </c>
      <c r="AI52" s="100">
        <v>0.3201842598821599</v>
      </c>
      <c r="AJ52" s="97">
        <f t="shared" si="11"/>
        <v>0.39075823693629164</v>
      </c>
    </row>
    <row r="53" spans="2:36" ht="15">
      <c r="B53" s="33">
        <v>2011</v>
      </c>
      <c r="C53" s="2">
        <v>0.3614943107441345</v>
      </c>
      <c r="D53" s="2">
        <v>0.3911356209150327</v>
      </c>
      <c r="E53" s="2">
        <v>0.42412330609289334</v>
      </c>
      <c r="F53" s="2">
        <v>0.4373223871171456</v>
      </c>
      <c r="G53" s="2">
        <v>0.44449159284994433</v>
      </c>
      <c r="H53" s="2">
        <v>0.45008094981111707</v>
      </c>
      <c r="I53" s="2">
        <v>0.4469848837839302</v>
      </c>
      <c r="J53" s="2">
        <v>0.4236836495416756</v>
      </c>
      <c r="K53" s="2">
        <v>0.3990190568640474</v>
      </c>
      <c r="L53" s="2">
        <v>0.3853487205218264</v>
      </c>
      <c r="M53" s="2">
        <v>0.37736797145872064</v>
      </c>
      <c r="N53" s="2">
        <v>0.37756634952428647</v>
      </c>
      <c r="O53" s="8">
        <f t="shared" si="12"/>
        <v>0.4098848999353962</v>
      </c>
      <c r="P53" s="6">
        <f t="shared" si="9"/>
        <v>0.28151030740153926</v>
      </c>
      <c r="Q53" s="8">
        <v>0.4081197138956137</v>
      </c>
      <c r="R53" s="6">
        <f t="shared" si="9"/>
        <v>0.2746401526602755</v>
      </c>
      <c r="T53" s="95">
        <v>2011</v>
      </c>
      <c r="U53" s="37">
        <v>0.3614943107441345</v>
      </c>
      <c r="V53" s="37">
        <v>0.3911356209150327</v>
      </c>
      <c r="W53" s="37">
        <v>0.42412330609289334</v>
      </c>
      <c r="X53" s="37">
        <v>0.4373223871171456</v>
      </c>
      <c r="Y53" s="37">
        <v>0.44449159284994433</v>
      </c>
      <c r="Z53" s="37">
        <v>0.45008094981111707</v>
      </c>
      <c r="AA53" s="37">
        <v>0.4469848837839302</v>
      </c>
      <c r="AB53" s="37">
        <v>0.4236836495416756</v>
      </c>
      <c r="AC53" s="37">
        <v>0.3990190568640474</v>
      </c>
      <c r="AD53" s="37">
        <v>0.3853487205218264</v>
      </c>
      <c r="AE53" s="37">
        <v>0.37736797145872064</v>
      </c>
      <c r="AF53" s="37">
        <v>0.37756634952428647</v>
      </c>
      <c r="AG53" s="100">
        <f t="shared" si="13"/>
        <v>0.4098848999353962</v>
      </c>
      <c r="AH53" s="97">
        <f t="shared" si="10"/>
        <v>0.28151030740153926</v>
      </c>
      <c r="AI53" s="100">
        <v>0.4081197138956137</v>
      </c>
      <c r="AJ53" s="97">
        <f t="shared" si="11"/>
        <v>0.2746401526602755</v>
      </c>
    </row>
    <row r="54" spans="2:37" s="15" customFormat="1" ht="15">
      <c r="B54" s="33">
        <v>2012</v>
      </c>
      <c r="C54" s="2">
        <v>0.4147770700636943</v>
      </c>
      <c r="D54" s="2">
        <v>0.39925910681210125</v>
      </c>
      <c r="E54" s="2">
        <v>0.41171650962720197</v>
      </c>
      <c r="F54" s="2">
        <v>0.4130887658147452</v>
      </c>
      <c r="G54" s="2">
        <v>0.39796321929998024</v>
      </c>
      <c r="H54" s="2">
        <v>0.3679454075986721</v>
      </c>
      <c r="I54" s="2">
        <v>0.35924022756469076</v>
      </c>
      <c r="J54" s="2">
        <v>0.33927733458470205</v>
      </c>
      <c r="K54" s="2">
        <v>0.3402771231972853</v>
      </c>
      <c r="L54" s="2">
        <v>0.35561736366345487</v>
      </c>
      <c r="M54" s="2">
        <v>0.35401810549739543</v>
      </c>
      <c r="N54" s="14">
        <v>0.36158309158723584</v>
      </c>
      <c r="O54" s="8">
        <f t="shared" si="12"/>
        <v>0.3762302771092633</v>
      </c>
      <c r="P54" s="6">
        <f aca="true" t="shared" si="14" ref="P54:P59">O54/O53-1</f>
        <v>-0.0821074961079008</v>
      </c>
      <c r="Q54" s="8">
        <v>0.3741547560506909</v>
      </c>
      <c r="R54" s="6">
        <f aca="true" t="shared" si="15" ref="R54:R60">Q54/Q53-1</f>
        <v>-0.08322302669654957</v>
      </c>
      <c r="T54" s="95">
        <v>2012</v>
      </c>
      <c r="U54" s="37">
        <v>0.4147770700636943</v>
      </c>
      <c r="V54" s="37">
        <v>0.39925910681210125</v>
      </c>
      <c r="W54" s="37">
        <v>0.41171650962720197</v>
      </c>
      <c r="X54" s="37">
        <v>0.4130887658147452</v>
      </c>
      <c r="Y54" s="37">
        <v>0.39796321929998024</v>
      </c>
      <c r="Z54" s="37">
        <v>0.3679454075986721</v>
      </c>
      <c r="AA54" s="37">
        <v>0.35924022756469076</v>
      </c>
      <c r="AB54" s="37">
        <v>0.33927733458470205</v>
      </c>
      <c r="AC54" s="37">
        <v>0.3402771231972853</v>
      </c>
      <c r="AD54" s="37">
        <v>0.35561736366345487</v>
      </c>
      <c r="AE54" s="37">
        <v>0.35401810549739543</v>
      </c>
      <c r="AF54" s="38">
        <v>0.36158309158723584</v>
      </c>
      <c r="AG54" s="100">
        <f t="shared" si="13"/>
        <v>0.3762302771092633</v>
      </c>
      <c r="AH54" s="97">
        <f t="shared" si="10"/>
        <v>-0.0821074961079008</v>
      </c>
      <c r="AI54" s="100">
        <v>0.3741547560506909</v>
      </c>
      <c r="AJ54" s="97">
        <f t="shared" si="11"/>
        <v>-0.08322302669654957</v>
      </c>
      <c r="AK54"/>
    </row>
    <row r="55" spans="2:36" s="15" customFormat="1" ht="15">
      <c r="B55" s="33">
        <v>2013</v>
      </c>
      <c r="C55" s="13">
        <v>0.37665562913907286</v>
      </c>
      <c r="D55" s="2">
        <v>0.3981583215612411</v>
      </c>
      <c r="E55" s="2">
        <v>0.42526315789473684</v>
      </c>
      <c r="F55" s="2">
        <v>0.44451466793068944</v>
      </c>
      <c r="G55" s="2">
        <v>0.4445136833359298</v>
      </c>
      <c r="H55" s="2">
        <v>0.40532043530834344</v>
      </c>
      <c r="I55" s="2">
        <v>0.39529255445356615</v>
      </c>
      <c r="J55" s="2">
        <v>0.3911354809230066</v>
      </c>
      <c r="K55" s="2">
        <v>0.4073154210882818</v>
      </c>
      <c r="L55" s="2">
        <v>0.43576709796672825</v>
      </c>
      <c r="M55" s="2">
        <v>0.44453813003560055</v>
      </c>
      <c r="N55" s="14">
        <v>0.4362683143753218</v>
      </c>
      <c r="O55" s="16">
        <f aca="true" t="shared" si="16" ref="O55:O61">AVERAGE(C55:N55)</f>
        <v>0.41706190783437647</v>
      </c>
      <c r="P55" s="6">
        <f t="shared" si="14"/>
        <v>0.10852829559290078</v>
      </c>
      <c r="Q55" s="8">
        <v>0.41937677654780314</v>
      </c>
      <c r="R55" s="6">
        <f t="shared" si="15"/>
        <v>0.12086448124953297</v>
      </c>
      <c r="T55" s="95">
        <v>2013</v>
      </c>
      <c r="U55" s="13">
        <v>0.37665562913907286</v>
      </c>
      <c r="V55" s="37">
        <v>0.3981583215612411</v>
      </c>
      <c r="W55" s="37">
        <v>0.42526315789473684</v>
      </c>
      <c r="X55" s="37">
        <v>0.44451466793068944</v>
      </c>
      <c r="Y55" s="37">
        <v>0.4445136833359298</v>
      </c>
      <c r="Z55" s="37">
        <v>0.40532043530834344</v>
      </c>
      <c r="AA55" s="37">
        <v>0.39529255445356615</v>
      </c>
      <c r="AB55" s="37">
        <v>0.3911354809230066</v>
      </c>
      <c r="AC55" s="37">
        <v>0.4073154210882818</v>
      </c>
      <c r="AD55" s="37">
        <v>0.43576709796672825</v>
      </c>
      <c r="AE55" s="37">
        <v>0.44453813003560055</v>
      </c>
      <c r="AF55" s="38">
        <v>0.4362683143753218</v>
      </c>
      <c r="AG55" s="16">
        <f t="shared" si="13"/>
        <v>0.41706190783437647</v>
      </c>
      <c r="AH55" s="97">
        <f t="shared" si="10"/>
        <v>0.10852829559290078</v>
      </c>
      <c r="AI55" s="100">
        <v>0.41937677654780314</v>
      </c>
      <c r="AJ55" s="97">
        <f t="shared" si="11"/>
        <v>0.12086448124953297</v>
      </c>
    </row>
    <row r="56" spans="2:36" s="15" customFormat="1" ht="15">
      <c r="B56" s="33">
        <v>2014</v>
      </c>
      <c r="C56" s="13">
        <v>0.4506834133727374</v>
      </c>
      <c r="D56" s="2">
        <v>0.45052292839903463</v>
      </c>
      <c r="E56" s="2">
        <v>0.4629997791031588</v>
      </c>
      <c r="F56" s="2">
        <v>0.46208375268017327</v>
      </c>
      <c r="G56" s="2">
        <v>0.45825731908609163</v>
      </c>
      <c r="H56" s="2">
        <v>0.4578323749782192</v>
      </c>
      <c r="I56" s="2">
        <v>0.44255097161239837</v>
      </c>
      <c r="J56" s="2">
        <v>0.4106239460370995</v>
      </c>
      <c r="K56" s="2">
        <v>0.39763148155762984</v>
      </c>
      <c r="L56" s="2">
        <v>0.378762954433295</v>
      </c>
      <c r="M56" s="2">
        <v>0.3792772892093527</v>
      </c>
      <c r="N56" s="14">
        <v>0.3762392666030614</v>
      </c>
      <c r="O56" s="16">
        <f t="shared" si="16"/>
        <v>0.42728878975602097</v>
      </c>
      <c r="P56" s="6">
        <f t="shared" si="14"/>
        <v>0.024521256268040137</v>
      </c>
      <c r="Q56" s="8">
        <v>0.4226483822503201</v>
      </c>
      <c r="R56" s="6">
        <f t="shared" si="15"/>
        <v>0.007801113188593556</v>
      </c>
      <c r="T56" s="95">
        <v>2014</v>
      </c>
      <c r="U56" s="13">
        <v>0.4506834133727374</v>
      </c>
      <c r="V56" s="37">
        <v>0.45052292839903463</v>
      </c>
      <c r="W56" s="37">
        <v>0.4629997791031588</v>
      </c>
      <c r="X56" s="37">
        <v>0.46208375268017327</v>
      </c>
      <c r="Y56" s="37">
        <v>0.45825731908609163</v>
      </c>
      <c r="Z56" s="37">
        <v>0.4578323749782192</v>
      </c>
      <c r="AA56" s="37">
        <v>0.44255097161239837</v>
      </c>
      <c r="AB56" s="37">
        <v>0.4106239460370995</v>
      </c>
      <c r="AC56" s="37">
        <v>0.39763148155762984</v>
      </c>
      <c r="AD56" s="37">
        <v>0.378762954433295</v>
      </c>
      <c r="AE56" s="37">
        <v>0.3792772892093527</v>
      </c>
      <c r="AF56" s="38">
        <v>0.3762392666030614</v>
      </c>
      <c r="AG56" s="16">
        <f t="shared" si="13"/>
        <v>0.42728878975602097</v>
      </c>
      <c r="AH56" s="97">
        <f t="shared" si="10"/>
        <v>0.024521256268040137</v>
      </c>
      <c r="AI56" s="100">
        <v>0.4226483822503201</v>
      </c>
      <c r="AJ56" s="97">
        <f t="shared" si="11"/>
        <v>0.007801113188593556</v>
      </c>
    </row>
    <row r="57" spans="2:36" s="15" customFormat="1" ht="15">
      <c r="B57" s="33">
        <v>2015</v>
      </c>
      <c r="C57" s="13">
        <v>0.3682693989705477</v>
      </c>
      <c r="D57" s="2">
        <v>0.3720851979547482</v>
      </c>
      <c r="E57" s="2">
        <v>0.3609940895909939</v>
      </c>
      <c r="F57" s="2">
        <v>0.34169179672765265</v>
      </c>
      <c r="G57" s="2">
        <v>0.3214468631085395</v>
      </c>
      <c r="H57" s="2">
        <v>0.2942619584346531</v>
      </c>
      <c r="I57" s="2">
        <v>0.2753032770784448</v>
      </c>
      <c r="J57" s="2">
        <v>0.26435931991166356</v>
      </c>
      <c r="K57" s="2">
        <v>0.2623925218252822</v>
      </c>
      <c r="L57" s="37">
        <v>0.25787224714512214</v>
      </c>
      <c r="M57" s="37">
        <v>0.2532961791116904</v>
      </c>
      <c r="N57" s="38">
        <v>0.251802302229058</v>
      </c>
      <c r="O57" s="16">
        <f t="shared" si="16"/>
        <v>0.30198126267403297</v>
      </c>
      <c r="P57" s="6">
        <f t="shared" si="14"/>
        <v>-0.2932619111152852</v>
      </c>
      <c r="Q57" s="8">
        <v>0.2948461592825068</v>
      </c>
      <c r="R57" s="6">
        <f t="shared" si="15"/>
        <v>-0.302384271027732</v>
      </c>
      <c r="T57" s="95">
        <v>2015</v>
      </c>
      <c r="U57" s="115">
        <v>0.3682693989705477</v>
      </c>
      <c r="V57" s="178">
        <v>0.3720851979547482</v>
      </c>
      <c r="W57" s="178">
        <v>0.3609940895909939</v>
      </c>
      <c r="X57" s="178">
        <v>0.34169179672765265</v>
      </c>
      <c r="Y57" s="178">
        <v>0.3214468631085395</v>
      </c>
      <c r="Z57" s="178">
        <v>0.2942619584346531</v>
      </c>
      <c r="AA57" s="178">
        <v>0.2753032770784448</v>
      </c>
      <c r="AB57" s="178">
        <v>0.26435931991166356</v>
      </c>
      <c r="AC57" s="178">
        <v>0.2623925218252822</v>
      </c>
      <c r="AD57" s="178">
        <v>0.25787224714512214</v>
      </c>
      <c r="AE57" s="178">
        <v>0.2532961791116904</v>
      </c>
      <c r="AF57" s="179">
        <v>0.251802302229058</v>
      </c>
      <c r="AG57" s="16">
        <f t="shared" si="13"/>
        <v>0.30198126267403297</v>
      </c>
      <c r="AH57" s="97">
        <f t="shared" si="10"/>
        <v>-0.2932619111152852</v>
      </c>
      <c r="AI57" s="100">
        <v>0.2948461592825068</v>
      </c>
      <c r="AJ57" s="97">
        <f t="shared" si="11"/>
        <v>-0.302384271027732</v>
      </c>
    </row>
    <row r="58" spans="2:36" s="15" customFormat="1" ht="15">
      <c r="B58" s="33">
        <v>2016</v>
      </c>
      <c r="C58" s="13">
        <v>0.23784801090271918</v>
      </c>
      <c r="D58" s="2">
        <v>0.23589065255731925</v>
      </c>
      <c r="E58" s="2">
        <v>0.2443801884152598</v>
      </c>
      <c r="F58" s="2">
        <v>0.25289544661272406</v>
      </c>
      <c r="G58" s="52">
        <v>0.27756043651598405</v>
      </c>
      <c r="H58" s="52">
        <v>0.28151468491146764</v>
      </c>
      <c r="I58" s="52">
        <v>0.2927895603642624</v>
      </c>
      <c r="J58" s="52">
        <v>0.30279413362366264</v>
      </c>
      <c r="K58" s="2">
        <v>0.3040305767894371</v>
      </c>
      <c r="L58" s="37">
        <v>0.3161521793186743</v>
      </c>
      <c r="M58" s="37">
        <v>0.30941110956424894</v>
      </c>
      <c r="N58" s="37">
        <v>0.3131067961165048</v>
      </c>
      <c r="O58" s="8">
        <f t="shared" si="16"/>
        <v>0.280697814641022</v>
      </c>
      <c r="P58" s="6">
        <f t="shared" si="14"/>
        <v>-0.07047936631745566</v>
      </c>
      <c r="Q58" s="8">
        <v>0.2846572919252654</v>
      </c>
      <c r="R58" s="6">
        <f t="shared" si="15"/>
        <v>-0.03455655444871819</v>
      </c>
      <c r="T58" s="95">
        <v>2016</v>
      </c>
      <c r="U58" s="115">
        <v>0.23784801090271918</v>
      </c>
      <c r="V58" s="178">
        <v>0.23589065255731925</v>
      </c>
      <c r="W58" s="178">
        <v>0.2443801884152598</v>
      </c>
      <c r="X58" s="178">
        <v>0.25289544661272406</v>
      </c>
      <c r="Y58" s="178">
        <v>0.27761859280483925</v>
      </c>
      <c r="Z58" s="178">
        <v>0.2813698096042628</v>
      </c>
      <c r="AA58" s="178">
        <v>0.2926390784698872</v>
      </c>
      <c r="AB58" s="178">
        <v>0.3028624831262331</v>
      </c>
      <c r="AC58" s="178">
        <v>0.3040305767894371</v>
      </c>
      <c r="AD58" s="178">
        <v>0.3161521793186743</v>
      </c>
      <c r="AE58" s="178">
        <v>0.30941110956424894</v>
      </c>
      <c r="AF58" s="178">
        <v>0.3131067961165048</v>
      </c>
      <c r="AG58" s="100">
        <f t="shared" si="13"/>
        <v>0.28068374369017585</v>
      </c>
      <c r="AH58" s="97">
        <f t="shared" si="10"/>
        <v>-0.07052596176089987</v>
      </c>
      <c r="AI58" s="100">
        <v>0.2846572919252654</v>
      </c>
      <c r="AJ58" s="97">
        <f t="shared" si="11"/>
        <v>-0.03455655444871819</v>
      </c>
    </row>
    <row r="59" spans="2:37" s="65" customFormat="1" ht="15">
      <c r="B59" s="33" t="s">
        <v>23</v>
      </c>
      <c r="C59" s="13">
        <v>0.31561287616650935</v>
      </c>
      <c r="D59" s="2">
        <v>0.33553509943082005</v>
      </c>
      <c r="E59" s="2">
        <v>0.347339527027027</v>
      </c>
      <c r="F59" s="2">
        <v>0.3545400133788685</v>
      </c>
      <c r="G59" s="2">
        <v>0.3636557534392663</v>
      </c>
      <c r="H59" s="2">
        <v>0.35694150810429887</v>
      </c>
      <c r="I59" s="2">
        <v>0.34600747180615204</v>
      </c>
      <c r="J59" s="52">
        <v>0.3474693573520485</v>
      </c>
      <c r="K59" s="52">
        <v>0.3387343386675223</v>
      </c>
      <c r="L59" s="52">
        <v>0.3320346617716163</v>
      </c>
      <c r="M59" s="52">
        <v>0.33100470309965946</v>
      </c>
      <c r="N59" s="52">
        <v>0.33014515900907676</v>
      </c>
      <c r="O59" s="8">
        <f t="shared" si="16"/>
        <v>0.34158503910440546</v>
      </c>
      <c r="P59" s="6">
        <f t="shared" si="14"/>
        <v>0.21691378160977393</v>
      </c>
      <c r="Q59" s="8">
        <v>0.3386453242554602</v>
      </c>
      <c r="R59" s="6">
        <f t="shared" si="15"/>
        <v>0.18965975529749968</v>
      </c>
      <c r="T59" s="95" t="s">
        <v>23</v>
      </c>
      <c r="U59" s="115">
        <v>0.31561287616650935</v>
      </c>
      <c r="V59" s="178">
        <v>0.33553509943082005</v>
      </c>
      <c r="W59" s="178">
        <v>0.347339527027027</v>
      </c>
      <c r="X59" s="178">
        <v>0.3545400133788685</v>
      </c>
      <c r="Y59" s="178">
        <v>0.3636557534392663</v>
      </c>
      <c r="Z59" s="178">
        <v>0.35694150810429887</v>
      </c>
      <c r="AA59" s="178">
        <v>0.34600747180615204</v>
      </c>
      <c r="AB59" s="178">
        <v>0.342819278789147</v>
      </c>
      <c r="AC59" s="178">
        <v>0.3341288782816229</v>
      </c>
      <c r="AD59" s="178">
        <v>0.3274387543016798</v>
      </c>
      <c r="AE59" s="178">
        <v>0.3263658444801751</v>
      </c>
      <c r="AF59" s="178">
        <v>0.3254847645429363</v>
      </c>
      <c r="AG59" s="100">
        <f t="shared" si="13"/>
        <v>0.3396558141457086</v>
      </c>
      <c r="AH59" s="97">
        <f t="shared" si="10"/>
        <v>0.2101014817610074</v>
      </c>
      <c r="AI59" s="100">
        <v>0.3386453242554602</v>
      </c>
      <c r="AJ59" s="97">
        <f t="shared" si="11"/>
        <v>0.18965975529749968</v>
      </c>
      <c r="AK59" s="15"/>
    </row>
    <row r="60" spans="2:36" s="65" customFormat="1" ht="15">
      <c r="B60" s="33" t="s">
        <v>28</v>
      </c>
      <c r="C60" s="98">
        <v>0.33646605035115584</v>
      </c>
      <c r="D60" s="52">
        <v>0.3428797628514188</v>
      </c>
      <c r="E60" s="52">
        <v>0.3606187173664918</v>
      </c>
      <c r="F60" s="52">
        <v>0.35745400964348484</v>
      </c>
      <c r="G60" s="52">
        <v>0.33938716950488573</v>
      </c>
      <c r="H60" s="52">
        <v>0.334164696515853</v>
      </c>
      <c r="I60" s="52">
        <v>0.3325936207589832</v>
      </c>
      <c r="J60" s="37">
        <v>0.3185852007916747</v>
      </c>
      <c r="K60" s="37">
        <v>0.29909328789630624</v>
      </c>
      <c r="L60" s="37">
        <v>0.2964787447546068</v>
      </c>
      <c r="M60" s="37">
        <v>0.2898238927989673</v>
      </c>
      <c r="N60" s="37">
        <v>0.2936611411187683</v>
      </c>
      <c r="O60" s="100">
        <f t="shared" si="16"/>
        <v>0.32510052452938304</v>
      </c>
      <c r="P60" s="97">
        <f>O60/O59-1</f>
        <v>-0.04825888926002975</v>
      </c>
      <c r="Q60" s="100">
        <v>0.32229745657187814</v>
      </c>
      <c r="R60" s="97">
        <f t="shared" si="15"/>
        <v>-0.04827430504030783</v>
      </c>
      <c r="T60" s="95" t="s">
        <v>28</v>
      </c>
      <c r="U60" s="115">
        <v>0.3315924147358828</v>
      </c>
      <c r="V60" s="178">
        <v>0.3380084151472651</v>
      </c>
      <c r="W60" s="178">
        <v>0.35573400958016343</v>
      </c>
      <c r="X60" s="178">
        <v>0.3524384645266095</v>
      </c>
      <c r="Y60" s="178">
        <v>0.3347294025260127</v>
      </c>
      <c r="Z60" s="178">
        <v>0.32965631575591403</v>
      </c>
      <c r="AA60" s="178">
        <v>0.3280898876404495</v>
      </c>
      <c r="AB60" s="178">
        <v>0.3185852007916747</v>
      </c>
      <c r="AC60" s="178">
        <v>0.29909328789630624</v>
      </c>
      <c r="AD60" s="178">
        <v>0.2964787447546068</v>
      </c>
      <c r="AE60" s="178">
        <v>0.2898238927989673</v>
      </c>
      <c r="AF60" s="178">
        <v>0.2936611411187683</v>
      </c>
      <c r="AG60" s="100">
        <f t="shared" si="13"/>
        <v>0.32232426477271836</v>
      </c>
      <c r="AH60" s="97">
        <f>AG60/AG59-1</f>
        <v>-0.05102680022299044</v>
      </c>
      <c r="AI60" s="100">
        <v>0.3197920875024867</v>
      </c>
      <c r="AJ60" s="97">
        <f t="shared" si="11"/>
        <v>-0.05567251458269462</v>
      </c>
    </row>
    <row r="61" spans="2:37" s="39" customFormat="1" ht="15">
      <c r="B61" s="95" t="s">
        <v>52</v>
      </c>
      <c r="C61" s="115">
        <v>0.2892815510153997</v>
      </c>
      <c r="D61" s="52">
        <v>0.2965348052744557</v>
      </c>
      <c r="E61" s="52">
        <v>0.3031849428151172</v>
      </c>
      <c r="F61" s="52">
        <v>0.3084719943754394</v>
      </c>
      <c r="G61" s="52">
        <v>0.30202201177373944</v>
      </c>
      <c r="H61" s="52">
        <v>0.3092198581560283</v>
      </c>
      <c r="I61" s="52">
        <v>0.30927835051546393</v>
      </c>
      <c r="J61" s="52">
        <v>0.3077821661011292</v>
      </c>
      <c r="K61" s="52">
        <v>0.30601509907061675</v>
      </c>
      <c r="L61" s="52">
        <v>0.3040132972306373</v>
      </c>
      <c r="M61" s="52">
        <v>0.29945003852387153</v>
      </c>
      <c r="N61" s="93">
        <v>0.31134761207928696</v>
      </c>
      <c r="O61" s="16">
        <f t="shared" si="16"/>
        <v>0.3038834772442654</v>
      </c>
      <c r="P61" s="97">
        <f>O61/O60-1</f>
        <v>-0.06526303615114593</v>
      </c>
      <c r="Q61" s="100">
        <v>0.30410499557590615</v>
      </c>
      <c r="R61" s="97">
        <f>Q61/Q60-1</f>
        <v>-0.056446182323237615</v>
      </c>
      <c r="T61" s="95" t="s">
        <v>52</v>
      </c>
      <c r="U61" s="115">
        <v>0.2892815510153997</v>
      </c>
      <c r="V61" s="178">
        <v>0.29408157007053054</v>
      </c>
      <c r="W61" s="178">
        <v>0.30018311169813583</v>
      </c>
      <c r="X61" s="178">
        <v>0.30495664401218653</v>
      </c>
      <c r="Y61" s="178">
        <v>0.29889372351619603</v>
      </c>
      <c r="Z61" s="178">
        <v>0.3060992907801418</v>
      </c>
      <c r="AA61" s="178">
        <v>0.3066938517646383</v>
      </c>
      <c r="AB61" s="178">
        <v>0.3042776881570896</v>
      </c>
      <c r="AC61" s="178">
        <v>0.3025265051374996</v>
      </c>
      <c r="AD61" s="178">
        <v>0.30052813597490685</v>
      </c>
      <c r="AE61" s="178">
        <v>0.295969605993783</v>
      </c>
      <c r="AF61" s="179">
        <v>0.30011972861513897</v>
      </c>
      <c r="AG61" s="16">
        <f t="shared" si="13"/>
        <v>0.3003009505613039</v>
      </c>
      <c r="AH61" s="97">
        <f>AG61/AG60-1</f>
        <v>-0.06832657859917513</v>
      </c>
      <c r="AI61" s="100">
        <v>0.30046525273006597</v>
      </c>
      <c r="AJ61" s="97">
        <f>AI61/AI60-1</f>
        <v>-0.06043562529442026</v>
      </c>
      <c r="AK61" s="65"/>
    </row>
    <row r="62" spans="2:37" s="65" customFormat="1" ht="15">
      <c r="B62" s="95" t="s">
        <v>58</v>
      </c>
      <c r="C62" s="98">
        <v>0.3206001276867419</v>
      </c>
      <c r="D62" s="241">
        <v>0.3240195563032279</v>
      </c>
      <c r="E62" s="241">
        <v>0.28207553699559323</v>
      </c>
      <c r="F62" s="241">
        <v>0.2866262589016156</v>
      </c>
      <c r="G62" s="241">
        <v>0.2912502878194796</v>
      </c>
      <c r="H62" s="242">
        <v>0.28842540398346483</v>
      </c>
      <c r="I62" s="242">
        <v>0.2893649004133784</v>
      </c>
      <c r="J62" s="241">
        <v>0.2902200207577139</v>
      </c>
      <c r="K62" s="241">
        <v>0.30295122571001365</v>
      </c>
      <c r="L62" s="241">
        <v>0.30111180679888067</v>
      </c>
      <c r="M62" s="241">
        <v>0.3022251943002235</v>
      </c>
      <c r="N62" s="241">
        <v>0.3071843242089281</v>
      </c>
      <c r="O62" s="100">
        <f>AVERAGE(C62:N62)</f>
        <v>0.2988378869899384</v>
      </c>
      <c r="P62" s="97">
        <f>O62/O61-1</f>
        <v>-0.016603700537068944</v>
      </c>
      <c r="Q62" s="100">
        <v>0.2987412878041814</v>
      </c>
      <c r="R62" s="97">
        <f>Q62/Q61-1</f>
        <v>-0.017637683858389375</v>
      </c>
      <c r="T62" s="95" t="s">
        <v>58</v>
      </c>
      <c r="U62" s="115">
        <v>0.30964034901042775</v>
      </c>
      <c r="V62" s="242">
        <v>0.31332141730627694</v>
      </c>
      <c r="W62" s="242">
        <v>0.2791684931822901</v>
      </c>
      <c r="X62" s="242">
        <v>0.2836993846650227</v>
      </c>
      <c r="Y62" s="242">
        <v>0.2882799907897766</v>
      </c>
      <c r="Z62" s="242">
        <v>0.28842540398346483</v>
      </c>
      <c r="AA62" s="242">
        <v>0.2893649004133784</v>
      </c>
      <c r="AB62" s="242">
        <v>0.2854665197928141</v>
      </c>
      <c r="AC62" s="242">
        <v>0.29818079122637736</v>
      </c>
      <c r="AD62" s="242">
        <v>0.2963431489680699</v>
      </c>
      <c r="AE62" s="242">
        <v>0.29744909899368127</v>
      </c>
      <c r="AF62" s="247">
        <v>0.3023870176431739</v>
      </c>
      <c r="AG62" s="100">
        <f t="shared" si="13"/>
        <v>0.29431054299789616</v>
      </c>
      <c r="AH62" s="97">
        <f>AG62/AG61-1</f>
        <v>-0.019948013991333835</v>
      </c>
      <c r="AI62" s="100">
        <v>0.29427909496996124</v>
      </c>
      <c r="AJ62" s="97">
        <f>AI62/AI61-1</f>
        <v>-0.020588596198384046</v>
      </c>
      <c r="AK62" s="39"/>
    </row>
    <row r="63" spans="2:36" s="246" customFormat="1" ht="15.75" thickBot="1">
      <c r="B63" s="243" t="s">
        <v>93</v>
      </c>
      <c r="C63" s="254">
        <v>0.3200037106892601</v>
      </c>
      <c r="D63" s="255">
        <v>0.3265415673973626</v>
      </c>
      <c r="E63" s="255">
        <v>0.3199837056008134</v>
      </c>
      <c r="F63" s="255">
        <v>0.342017425507454</v>
      </c>
      <c r="G63" s="255">
        <v>0.3531181369195346</v>
      </c>
      <c r="H63" s="255">
        <v>0.3551858586077776</v>
      </c>
      <c r="I63" s="180">
        <v>0.3499646385143613</v>
      </c>
      <c r="J63" s="253">
        <v>0.35514513897370004</v>
      </c>
      <c r="K63" s="253">
        <v>0.3555172880089599</v>
      </c>
      <c r="L63" s="253">
        <v>0.34279870850058414</v>
      </c>
      <c r="M63" s="253">
        <v>0.34851558734744015</v>
      </c>
      <c r="N63" s="253">
        <v>0.3489586826459259</v>
      </c>
      <c r="O63" s="244">
        <f>AVERAGE(C63:N63)</f>
        <v>0.34314587072609787</v>
      </c>
      <c r="P63" s="245">
        <f>O63/O62-1</f>
        <v>0.1482676249067818</v>
      </c>
      <c r="Q63" s="244">
        <v>0.3444320366400228</v>
      </c>
      <c r="R63" s="245">
        <f>Q63/Q62-1</f>
        <v>0.1529442052408596</v>
      </c>
      <c r="T63" s="243" t="s">
        <v>93</v>
      </c>
      <c r="U63" s="256">
        <v>0.3152045400803973</v>
      </c>
      <c r="V63" s="180">
        <v>0.3217879709805757</v>
      </c>
      <c r="W63" s="180">
        <v>0.31628411350081326</v>
      </c>
      <c r="X63" s="180">
        <v>0.3381719210705375</v>
      </c>
      <c r="Y63" s="180">
        <v>0.34920995794020687</v>
      </c>
      <c r="Z63" s="180">
        <v>0.3511467889908257</v>
      </c>
      <c r="AA63" s="180">
        <v>0.3499646385143613</v>
      </c>
      <c r="AB63" s="253">
        <v>0.35513409782315974</v>
      </c>
      <c r="AC63" s="253">
        <v>0.3555172880089599</v>
      </c>
      <c r="AD63" s="253">
        <v>0.34285555054219297</v>
      </c>
      <c r="AE63" s="253">
        <v>0.34852093669974504</v>
      </c>
      <c r="AF63" s="253">
        <v>0.3489494141253516</v>
      </c>
      <c r="AG63" s="244">
        <f>AVERAGE(U63:AF63)</f>
        <v>0.34106226818976054</v>
      </c>
      <c r="AH63" s="245">
        <f>AG63/AG62-1</f>
        <v>0.15885168338056643</v>
      </c>
      <c r="AI63" s="244">
        <v>0.3425332959498636</v>
      </c>
      <c r="AJ63" s="245">
        <f>AI63/AI62-1</f>
        <v>0.1639742740979544</v>
      </c>
    </row>
    <row r="64" spans="2:37" s="15" customFormat="1" ht="15">
      <c r="B64" s="62" t="s">
        <v>21</v>
      </c>
      <c r="C64" s="63"/>
      <c r="D64" s="63"/>
      <c r="E64" s="63"/>
      <c r="F64" s="64"/>
      <c r="L64" s="36"/>
      <c r="M64" s="66"/>
      <c r="Q64" s="10"/>
      <c r="T64" s="62" t="s">
        <v>21</v>
      </c>
      <c r="U64" s="65"/>
      <c r="V64" s="65"/>
      <c r="W64" s="65"/>
      <c r="X64" s="65"/>
      <c r="Y64" s="65"/>
      <c r="Z64" s="65"/>
      <c r="AA64" s="65"/>
      <c r="AB64" s="65"/>
      <c r="AC64" s="65"/>
      <c r="AD64" s="102"/>
      <c r="AE64" s="69"/>
      <c r="AF64" s="65"/>
      <c r="AG64" s="65"/>
      <c r="AH64" s="65"/>
      <c r="AI64" s="10"/>
      <c r="AJ64" s="65"/>
      <c r="AK64" s="65"/>
    </row>
    <row r="65" spans="2:36" s="15" customFormat="1" ht="15">
      <c r="B65" s="68"/>
      <c r="C65" s="68"/>
      <c r="D65" s="104"/>
      <c r="E65" s="106"/>
      <c r="F65" s="68"/>
      <c r="G65" s="102"/>
      <c r="H65" s="54"/>
      <c r="I65" s="54"/>
      <c r="J65" s="54"/>
      <c r="K65" s="54"/>
      <c r="L65" s="65"/>
      <c r="M65" s="41"/>
      <c r="N65" s="41"/>
      <c r="O65" s="41"/>
      <c r="Q65" s="10"/>
      <c r="T65" s="102"/>
      <c r="U65" s="102"/>
      <c r="V65" s="116"/>
      <c r="W65" s="106"/>
      <c r="X65" s="102"/>
      <c r="Y65" s="102"/>
      <c r="Z65" s="54"/>
      <c r="AA65" s="54"/>
      <c r="AB65" s="54"/>
      <c r="AC65" s="54"/>
      <c r="AD65" s="65"/>
      <c r="AE65" s="102"/>
      <c r="AF65" s="102"/>
      <c r="AG65" s="102"/>
      <c r="AH65" s="65"/>
      <c r="AI65" s="10"/>
      <c r="AJ65" s="65"/>
    </row>
    <row r="66" spans="2:36" s="15" customFormat="1" ht="15">
      <c r="B66" s="17"/>
      <c r="T66" s="61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</row>
    <row r="67" spans="2:36" s="15" customFormat="1" ht="15">
      <c r="B67" s="17" t="s">
        <v>18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Q67" s="9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</row>
    <row r="68" spans="2:37" s="61" customFormat="1" ht="15.75" customHeight="1">
      <c r="B68" s="60"/>
      <c r="C68" s="111" t="s">
        <v>55</v>
      </c>
      <c r="D68" s="111"/>
      <c r="E68" s="111"/>
      <c r="F68" s="111"/>
      <c r="G68" s="111"/>
      <c r="H68" s="111"/>
      <c r="I68" s="111"/>
      <c r="J68" s="111"/>
      <c r="AK68" s="15"/>
    </row>
    <row r="69" spans="2:37" s="65" customFormat="1" ht="15.75" customHeight="1">
      <c r="B69" s="49"/>
      <c r="C69" s="111" t="s">
        <v>53</v>
      </c>
      <c r="D69" s="111"/>
      <c r="E69" s="111"/>
      <c r="F69" s="111"/>
      <c r="G69" s="111"/>
      <c r="H69" s="111"/>
      <c r="I69" s="111"/>
      <c r="J69" s="111"/>
      <c r="Q69" s="10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</row>
    <row r="70" spans="2:37" s="61" customFormat="1" ht="15.75" customHeight="1">
      <c r="B70" s="67"/>
      <c r="C70" s="111" t="s">
        <v>54</v>
      </c>
      <c r="D70" s="111"/>
      <c r="E70" s="111"/>
      <c r="F70" s="111"/>
      <c r="G70" s="111"/>
      <c r="H70" s="111"/>
      <c r="I70" s="111"/>
      <c r="J70" s="111"/>
      <c r="P70" s="51"/>
      <c r="Q70" s="65"/>
      <c r="AK70" s="65"/>
    </row>
    <row r="71" spans="1:37" s="15" customFormat="1" ht="19.5" customHeight="1" thickBot="1">
      <c r="A71" s="42"/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</row>
    <row r="72" spans="2:10" s="185" customFormat="1" ht="15" customHeight="1" thickBot="1">
      <c r="B72" s="187"/>
      <c r="F72" s="277" t="s">
        <v>22</v>
      </c>
      <c r="G72" s="278"/>
      <c r="H72" s="278"/>
      <c r="I72" s="278"/>
      <c r="J72" s="279"/>
    </row>
    <row r="73" ht="15.75" thickBot="1"/>
    <row r="74" spans="2:17" ht="28.5" customHeight="1" thickBot="1">
      <c r="B74" s="59" t="s">
        <v>13</v>
      </c>
      <c r="C74" s="3" t="s">
        <v>1</v>
      </c>
      <c r="D74" s="3" t="s">
        <v>2</v>
      </c>
      <c r="E74" s="3" t="s">
        <v>3</v>
      </c>
      <c r="F74" s="3" t="s">
        <v>4</v>
      </c>
      <c r="G74" s="3" t="s">
        <v>5</v>
      </c>
      <c r="H74" s="3" t="s">
        <v>6</v>
      </c>
      <c r="I74" s="3" t="s">
        <v>7</v>
      </c>
      <c r="J74" s="3" t="s">
        <v>8</v>
      </c>
      <c r="K74" s="3" t="s">
        <v>9</v>
      </c>
      <c r="L74" s="3" t="s">
        <v>10</v>
      </c>
      <c r="M74" s="3" t="s">
        <v>11</v>
      </c>
      <c r="N74" s="3" t="s">
        <v>12</v>
      </c>
      <c r="O74" s="7" t="s">
        <v>27</v>
      </c>
      <c r="P74" s="4" t="s">
        <v>24</v>
      </c>
      <c r="Q74" s="10"/>
    </row>
    <row r="75" spans="2:17" ht="15">
      <c r="B75" s="34">
        <v>2002</v>
      </c>
      <c r="C75" s="2">
        <v>14.335</v>
      </c>
      <c r="D75" s="2">
        <v>14.643</v>
      </c>
      <c r="E75" s="2">
        <v>15.22</v>
      </c>
      <c r="F75" s="2">
        <v>16.368</v>
      </c>
      <c r="G75" s="2">
        <v>17.046</v>
      </c>
      <c r="H75" s="2">
        <v>17.812</v>
      </c>
      <c r="I75" s="2">
        <v>22.634</v>
      </c>
      <c r="J75" s="2">
        <v>26.692</v>
      </c>
      <c r="K75" s="2">
        <v>28.958</v>
      </c>
      <c r="L75" s="2">
        <v>27.009</v>
      </c>
      <c r="M75" s="2">
        <v>27.186</v>
      </c>
      <c r="N75" s="2">
        <v>27.25</v>
      </c>
      <c r="O75" s="8">
        <f>AVERAGE(C75:N75)</f>
        <v>21.26275</v>
      </c>
      <c r="P75" s="5"/>
      <c r="Q75" s="10"/>
    </row>
    <row r="76" spans="2:17" ht="15">
      <c r="B76" s="33">
        <v>2003</v>
      </c>
      <c r="C76" s="2">
        <v>27.817</v>
      </c>
      <c r="D76" s="2">
        <v>28.5</v>
      </c>
      <c r="E76" s="2">
        <v>28.734</v>
      </c>
      <c r="F76" s="2">
        <v>28.762</v>
      </c>
      <c r="G76" s="2">
        <v>29.162</v>
      </c>
      <c r="H76" s="2">
        <v>26.713</v>
      </c>
      <c r="I76" s="2">
        <v>26.925</v>
      </c>
      <c r="J76" s="2">
        <v>27.805</v>
      </c>
      <c r="K76" s="2">
        <v>27.859</v>
      </c>
      <c r="L76" s="2">
        <v>28.257</v>
      </c>
      <c r="M76" s="2">
        <v>28.885</v>
      </c>
      <c r="N76" s="2">
        <v>29.238</v>
      </c>
      <c r="O76" s="8">
        <f>AVERAGE(C76:N76)</f>
        <v>28.221416666666666</v>
      </c>
      <c r="P76" s="6">
        <f>+(O76/O75)-1</f>
        <v>0.3272703044839762</v>
      </c>
      <c r="Q76" s="10"/>
    </row>
    <row r="77" spans="2:17" ht="15">
      <c r="B77" s="33">
        <v>2004</v>
      </c>
      <c r="C77" s="2">
        <v>29.415</v>
      </c>
      <c r="D77" s="2">
        <v>29.515</v>
      </c>
      <c r="E77" s="2">
        <v>29.606</v>
      </c>
      <c r="F77" s="2">
        <v>29.65</v>
      </c>
      <c r="G77" s="2">
        <v>29.761</v>
      </c>
      <c r="H77" s="2">
        <v>29.74</v>
      </c>
      <c r="I77" s="2">
        <v>29.462</v>
      </c>
      <c r="J77" s="2">
        <v>28.874</v>
      </c>
      <c r="K77" s="2">
        <v>27.94</v>
      </c>
      <c r="L77" s="2">
        <v>27.165</v>
      </c>
      <c r="M77" s="2">
        <v>26.645</v>
      </c>
      <c r="N77" s="2">
        <v>26.564</v>
      </c>
      <c r="O77" s="8">
        <f aca="true" t="shared" si="17" ref="O77:O85">AVERAGE(C77:N77)</f>
        <v>28.694750000000003</v>
      </c>
      <c r="P77" s="6">
        <f aca="true" t="shared" si="18" ref="P77:P85">+(O77/O76)-1</f>
        <v>0.016772132275429286</v>
      </c>
      <c r="Q77" s="10"/>
    </row>
    <row r="78" spans="2:17" ht="15">
      <c r="B78" s="33">
        <v>2005</v>
      </c>
      <c r="C78" s="2">
        <v>25.525</v>
      </c>
      <c r="D78" s="2">
        <v>24.928</v>
      </c>
      <c r="E78" s="2">
        <v>25.521</v>
      </c>
      <c r="F78" s="2">
        <v>25.21</v>
      </c>
      <c r="G78" s="2">
        <v>24.481</v>
      </c>
      <c r="H78" s="2">
        <v>24.25</v>
      </c>
      <c r="I78" s="2">
        <v>24.61</v>
      </c>
      <c r="J78" s="2">
        <v>24.342</v>
      </c>
      <c r="K78" s="2">
        <v>24.09</v>
      </c>
      <c r="L78" s="2">
        <v>23.592</v>
      </c>
      <c r="M78" s="2">
        <v>23.521</v>
      </c>
      <c r="N78" s="2">
        <v>23.651</v>
      </c>
      <c r="O78" s="8">
        <f t="shared" si="17"/>
        <v>24.47675</v>
      </c>
      <c r="P78" s="6">
        <f t="shared" si="18"/>
        <v>-0.1469955305413012</v>
      </c>
      <c r="Q78" s="10"/>
    </row>
    <row r="79" spans="2:17" ht="15">
      <c r="B79" s="33">
        <v>2006</v>
      </c>
      <c r="C79" s="2">
        <v>24.185</v>
      </c>
      <c r="D79" s="2">
        <v>24.23</v>
      </c>
      <c r="E79" s="2">
        <v>24.27</v>
      </c>
      <c r="F79" s="2">
        <v>24.097</v>
      </c>
      <c r="G79" s="2">
        <v>23.956</v>
      </c>
      <c r="H79" s="2">
        <v>23.881</v>
      </c>
      <c r="I79" s="2">
        <v>23.952</v>
      </c>
      <c r="J79" s="2">
        <v>23.933</v>
      </c>
      <c r="K79" s="2">
        <v>23.975</v>
      </c>
      <c r="L79" s="2">
        <v>23.856</v>
      </c>
      <c r="M79" s="2">
        <v>24.099</v>
      </c>
      <c r="N79" s="2">
        <v>24.449</v>
      </c>
      <c r="O79" s="8">
        <f t="shared" si="17"/>
        <v>24.073583333333335</v>
      </c>
      <c r="P79" s="6">
        <f t="shared" si="18"/>
        <v>-0.01647141334804103</v>
      </c>
      <c r="Q79" s="10"/>
    </row>
    <row r="80" spans="2:17" ht="15">
      <c r="B80" s="33">
        <v>2007</v>
      </c>
      <c r="C80" s="2">
        <v>24.423</v>
      </c>
      <c r="D80" s="2">
        <v>24.301</v>
      </c>
      <c r="E80" s="2">
        <v>24.29</v>
      </c>
      <c r="F80" s="2">
        <v>24.085</v>
      </c>
      <c r="G80" s="2">
        <v>23.992</v>
      </c>
      <c r="H80" s="2">
        <v>23.908</v>
      </c>
      <c r="I80" s="2">
        <v>23.798</v>
      </c>
      <c r="J80" s="2">
        <v>23.628</v>
      </c>
      <c r="K80" s="2">
        <v>23.24</v>
      </c>
      <c r="L80" s="2">
        <v>22.27</v>
      </c>
      <c r="M80" s="2">
        <v>21.975</v>
      </c>
      <c r="N80" s="2">
        <v>21.692</v>
      </c>
      <c r="O80" s="8">
        <f t="shared" si="17"/>
        <v>23.466833333333337</v>
      </c>
      <c r="P80" s="6">
        <f t="shared" si="18"/>
        <v>-0.025203975311804405</v>
      </c>
      <c r="Q80" s="10"/>
    </row>
    <row r="81" spans="2:17" ht="15">
      <c r="B81" s="33">
        <v>2008</v>
      </c>
      <c r="C81" s="2">
        <v>21.2</v>
      </c>
      <c r="D81" s="2">
        <v>20.937</v>
      </c>
      <c r="E81" s="2">
        <v>20.626</v>
      </c>
      <c r="F81" s="2">
        <v>19.933</v>
      </c>
      <c r="G81" s="2">
        <v>19.874</v>
      </c>
      <c r="H81" s="2">
        <v>19.494</v>
      </c>
      <c r="I81" s="2">
        <v>19.252</v>
      </c>
      <c r="J81" s="2">
        <v>19.217</v>
      </c>
      <c r="K81" s="2">
        <v>20.424</v>
      </c>
      <c r="L81" s="2">
        <v>22.373</v>
      </c>
      <c r="M81" s="2">
        <v>23.687</v>
      </c>
      <c r="N81" s="2">
        <v>24.353</v>
      </c>
      <c r="O81" s="8">
        <f t="shared" si="17"/>
        <v>20.9475</v>
      </c>
      <c r="P81" s="6">
        <f t="shared" si="18"/>
        <v>-0.10735719206539729</v>
      </c>
      <c r="Q81" s="10"/>
    </row>
    <row r="82" spans="2:17" ht="15">
      <c r="B82" s="33">
        <v>2009</v>
      </c>
      <c r="C82" s="2">
        <v>23.29</v>
      </c>
      <c r="D82" s="2">
        <v>23.25</v>
      </c>
      <c r="E82" s="2">
        <v>23.98</v>
      </c>
      <c r="F82" s="2">
        <v>24.035</v>
      </c>
      <c r="G82" s="2">
        <v>23.695</v>
      </c>
      <c r="H82" s="2">
        <v>23.391</v>
      </c>
      <c r="I82" s="2">
        <v>23.395</v>
      </c>
      <c r="J82" s="2">
        <v>22.852</v>
      </c>
      <c r="K82" s="2">
        <v>21.942</v>
      </c>
      <c r="L82" s="2">
        <v>20.82</v>
      </c>
      <c r="M82" s="2">
        <v>20.461</v>
      </c>
      <c r="N82" s="2">
        <v>19.703</v>
      </c>
      <c r="O82" s="8">
        <f t="shared" si="17"/>
        <v>22.56783333333333</v>
      </c>
      <c r="P82" s="6">
        <f t="shared" si="18"/>
        <v>0.07735211043481693</v>
      </c>
      <c r="Q82" s="10"/>
    </row>
    <row r="83" spans="2:17" ht="15">
      <c r="B83" s="33">
        <v>2010</v>
      </c>
      <c r="C83" s="2">
        <v>19.585</v>
      </c>
      <c r="D83" s="2">
        <v>19.766</v>
      </c>
      <c r="E83" s="2">
        <v>19.609</v>
      </c>
      <c r="F83" s="2">
        <v>19.35</v>
      </c>
      <c r="G83" s="2">
        <v>19.262</v>
      </c>
      <c r="H83" s="2">
        <v>20.455</v>
      </c>
      <c r="I83" s="2">
        <v>21.092</v>
      </c>
      <c r="J83" s="2">
        <v>20.859</v>
      </c>
      <c r="K83" s="2">
        <v>20.56</v>
      </c>
      <c r="L83" s="2">
        <v>20.215</v>
      </c>
      <c r="M83" s="2">
        <v>19.963</v>
      </c>
      <c r="N83" s="2">
        <v>19.975</v>
      </c>
      <c r="O83" s="8">
        <f t="shared" si="17"/>
        <v>20.057583333333334</v>
      </c>
      <c r="P83" s="6">
        <f t="shared" si="18"/>
        <v>-0.11123132482072551</v>
      </c>
      <c r="Q83" s="10"/>
    </row>
    <row r="84" spans="2:17" ht="15">
      <c r="B84" s="33">
        <v>2011</v>
      </c>
      <c r="C84" s="2">
        <v>19.862</v>
      </c>
      <c r="D84" s="2">
        <v>19.584</v>
      </c>
      <c r="E84" s="2">
        <v>19.334</v>
      </c>
      <c r="F84" s="2">
        <v>19.002</v>
      </c>
      <c r="G84" s="2">
        <v>18.853</v>
      </c>
      <c r="H84" s="2">
        <v>18.53</v>
      </c>
      <c r="I84" s="2">
        <v>18.457</v>
      </c>
      <c r="J84" s="2">
        <v>18.764</v>
      </c>
      <c r="K84" s="2">
        <v>19.573</v>
      </c>
      <c r="L84" s="2">
        <v>19.93</v>
      </c>
      <c r="M84" s="2">
        <v>19.901</v>
      </c>
      <c r="N84" s="2">
        <v>19.97</v>
      </c>
      <c r="O84" s="8">
        <f t="shared" si="17"/>
        <v>19.313333333333336</v>
      </c>
      <c r="P84" s="6">
        <f t="shared" si="18"/>
        <v>-0.037105666601576215</v>
      </c>
      <c r="Q84" s="10"/>
    </row>
    <row r="85" spans="2:17" s="15" customFormat="1" ht="15">
      <c r="B85" s="33">
        <v>2012</v>
      </c>
      <c r="C85" s="2">
        <v>19.625</v>
      </c>
      <c r="D85" s="2">
        <v>19.436</v>
      </c>
      <c r="E85" s="2">
        <v>19.528</v>
      </c>
      <c r="F85" s="2">
        <v>19.681</v>
      </c>
      <c r="G85" s="2">
        <v>20.228</v>
      </c>
      <c r="H85" s="2">
        <v>21.688</v>
      </c>
      <c r="I85" s="2">
        <v>21.796</v>
      </c>
      <c r="J85" s="2">
        <v>21.31</v>
      </c>
      <c r="K85" s="2">
        <v>21.218</v>
      </c>
      <c r="L85" s="2">
        <v>20.134</v>
      </c>
      <c r="M85" s="2">
        <v>19.773</v>
      </c>
      <c r="N85" s="2">
        <v>19.304</v>
      </c>
      <c r="O85" s="8">
        <f t="shared" si="17"/>
        <v>20.310083333333335</v>
      </c>
      <c r="P85" s="6">
        <f t="shared" si="18"/>
        <v>0.0516094235415947</v>
      </c>
      <c r="Q85" s="10"/>
    </row>
    <row r="86" spans="2:17" s="15" customFormat="1" ht="15">
      <c r="B86" s="33">
        <v>2013</v>
      </c>
      <c r="C86" s="2">
        <v>19.328</v>
      </c>
      <c r="D86" s="2">
        <v>19.113</v>
      </c>
      <c r="E86" s="2">
        <v>19</v>
      </c>
      <c r="F86" s="2">
        <v>18.987</v>
      </c>
      <c r="G86" s="2">
        <v>19.257</v>
      </c>
      <c r="H86" s="2">
        <v>20.675</v>
      </c>
      <c r="I86" s="2">
        <v>21.073</v>
      </c>
      <c r="J86" s="2">
        <v>21.885</v>
      </c>
      <c r="K86" s="2">
        <v>22.145</v>
      </c>
      <c r="L86" s="2">
        <v>21.64</v>
      </c>
      <c r="M86" s="2">
        <v>21.348</v>
      </c>
      <c r="N86" s="2">
        <v>21.363</v>
      </c>
      <c r="O86" s="8">
        <f aca="true" t="shared" si="19" ref="O86:O91">AVERAGE(C86:N86)</f>
        <v>20.4845</v>
      </c>
      <c r="P86" s="6">
        <f aca="true" t="shared" si="20" ref="P86:P91">O86/O85-1</f>
        <v>0.008587688381386904</v>
      </c>
      <c r="Q86" s="10"/>
    </row>
    <row r="87" spans="2:17" s="15" customFormat="1" ht="15">
      <c r="B87" s="33">
        <v>2014</v>
      </c>
      <c r="C87" s="2">
        <v>21.656</v>
      </c>
      <c r="D87" s="2">
        <v>22.374</v>
      </c>
      <c r="E87" s="2">
        <v>22.635</v>
      </c>
      <c r="F87" s="2">
        <v>22.853</v>
      </c>
      <c r="G87" s="2">
        <v>23.022</v>
      </c>
      <c r="H87" s="2">
        <v>22.956</v>
      </c>
      <c r="I87" s="2">
        <v>23.003</v>
      </c>
      <c r="J87" s="2">
        <v>23.72</v>
      </c>
      <c r="K87" s="2">
        <v>24.319</v>
      </c>
      <c r="L87" s="2">
        <v>24.316</v>
      </c>
      <c r="M87" s="2">
        <v>23.993</v>
      </c>
      <c r="N87" s="2">
        <v>24.107</v>
      </c>
      <c r="O87" s="8">
        <f t="shared" si="19"/>
        <v>23.246166666666664</v>
      </c>
      <c r="P87" s="6">
        <f t="shared" si="20"/>
        <v>0.13481738224836648</v>
      </c>
      <c r="Q87" s="10"/>
    </row>
    <row r="88" spans="2:17" s="15" customFormat="1" ht="15">
      <c r="B88" s="33">
        <v>2015</v>
      </c>
      <c r="C88" s="2">
        <v>24.47</v>
      </c>
      <c r="D88" s="2">
        <v>24.574</v>
      </c>
      <c r="E88" s="2">
        <v>25.286</v>
      </c>
      <c r="F88" s="2">
        <v>26.351</v>
      </c>
      <c r="G88" s="2">
        <v>26.665</v>
      </c>
      <c r="H88" s="2">
        <v>26.848</v>
      </c>
      <c r="I88" s="2">
        <v>27.735</v>
      </c>
      <c r="J88" s="2">
        <v>28.506</v>
      </c>
      <c r="K88" s="2">
        <v>28.84</v>
      </c>
      <c r="L88" s="2">
        <v>29.339</v>
      </c>
      <c r="M88" s="2">
        <v>29.53</v>
      </c>
      <c r="N88" s="2">
        <v>29.78</v>
      </c>
      <c r="O88" s="8">
        <f t="shared" si="19"/>
        <v>27.326999999999998</v>
      </c>
      <c r="P88" s="6">
        <f t="shared" si="20"/>
        <v>0.17554865676778264</v>
      </c>
      <c r="Q88" s="10"/>
    </row>
    <row r="89" spans="2:17" s="15" customFormat="1" ht="15">
      <c r="B89" s="33">
        <v>2016</v>
      </c>
      <c r="C89" s="2">
        <v>30.818</v>
      </c>
      <c r="D89" s="2">
        <v>31.752</v>
      </c>
      <c r="E89" s="2">
        <v>32.163</v>
      </c>
      <c r="F89" s="2">
        <v>31.515</v>
      </c>
      <c r="G89" s="2">
        <v>31.41</v>
      </c>
      <c r="H89" s="2">
        <v>30.778</v>
      </c>
      <c r="I89" s="2">
        <v>30.037</v>
      </c>
      <c r="J89" s="2">
        <v>28.891</v>
      </c>
      <c r="K89" s="2">
        <v>28.78</v>
      </c>
      <c r="L89" s="2">
        <v>28.151</v>
      </c>
      <c r="M89" s="2">
        <v>28.732</v>
      </c>
      <c r="N89" s="2">
        <v>28.84</v>
      </c>
      <c r="O89" s="8">
        <f t="shared" si="19"/>
        <v>30.155583333333336</v>
      </c>
      <c r="P89" s="6">
        <f t="shared" si="20"/>
        <v>0.10350873982996078</v>
      </c>
      <c r="Q89" s="10"/>
    </row>
    <row r="90" spans="2:17" s="65" customFormat="1" ht="15">
      <c r="B90" s="33" t="s">
        <v>23</v>
      </c>
      <c r="C90" s="2">
        <v>28.611</v>
      </c>
      <c r="D90" s="2">
        <v>28.462</v>
      </c>
      <c r="E90" s="2">
        <v>28.416</v>
      </c>
      <c r="F90" s="2">
        <v>28.403</v>
      </c>
      <c r="G90" s="2">
        <v>28.131</v>
      </c>
      <c r="H90" s="2">
        <v>28.38</v>
      </c>
      <c r="I90" s="2">
        <v>28.641</v>
      </c>
      <c r="J90" s="2">
        <v>28.674</v>
      </c>
      <c r="K90" s="2">
        <v>28.911</v>
      </c>
      <c r="L90" s="2">
        <v>29.349</v>
      </c>
      <c r="M90" s="2">
        <v>29.231</v>
      </c>
      <c r="N90" s="2">
        <v>28.88</v>
      </c>
      <c r="O90" s="8">
        <f t="shared" si="19"/>
        <v>28.674083333333332</v>
      </c>
      <c r="P90" s="6">
        <f t="shared" si="20"/>
        <v>-0.0491285472286781</v>
      </c>
      <c r="Q90" s="10"/>
    </row>
    <row r="91" spans="2:17" s="65" customFormat="1" ht="15">
      <c r="B91" s="95" t="s">
        <v>28</v>
      </c>
      <c r="C91" s="37">
        <v>28.529</v>
      </c>
      <c r="D91" s="37">
        <v>28.52</v>
      </c>
      <c r="E91" s="37">
        <v>28.392</v>
      </c>
      <c r="F91" s="37">
        <v>28.317</v>
      </c>
      <c r="G91" s="37">
        <v>30.562</v>
      </c>
      <c r="H91" s="37">
        <v>31.366</v>
      </c>
      <c r="I91" s="37">
        <v>31.15</v>
      </c>
      <c r="J91" s="37">
        <v>31.326</v>
      </c>
      <c r="K91" s="37">
        <v>32.866</v>
      </c>
      <c r="L91" s="37">
        <v>32.886</v>
      </c>
      <c r="M91" s="37">
        <v>32.537</v>
      </c>
      <c r="N91" s="37">
        <v>32.214</v>
      </c>
      <c r="O91" s="100">
        <f t="shared" si="19"/>
        <v>30.722083333333334</v>
      </c>
      <c r="P91" s="97">
        <f t="shared" si="20"/>
        <v>0.07142338174135188</v>
      </c>
      <c r="Q91" s="10"/>
    </row>
    <row r="92" spans="2:20" s="39" customFormat="1" ht="15">
      <c r="B92" s="95" t="s">
        <v>52</v>
      </c>
      <c r="C92" s="13">
        <v>32.598</v>
      </c>
      <c r="D92" s="37">
        <v>32.61</v>
      </c>
      <c r="E92" s="37">
        <v>33.313</v>
      </c>
      <c r="F92" s="37">
        <v>34.136</v>
      </c>
      <c r="G92" s="37">
        <v>35.163</v>
      </c>
      <c r="H92" s="37">
        <v>35.25</v>
      </c>
      <c r="I92" s="37">
        <v>34.823</v>
      </c>
      <c r="J92" s="37">
        <v>35.954</v>
      </c>
      <c r="K92" s="37">
        <v>36.691</v>
      </c>
      <c r="L92" s="37">
        <v>37.301</v>
      </c>
      <c r="M92" s="37">
        <v>37.639</v>
      </c>
      <c r="N92" s="38">
        <v>37.585</v>
      </c>
      <c r="O92" s="16">
        <f>AVERAGE(C92:N92)</f>
        <v>35.25525</v>
      </c>
      <c r="P92" s="97">
        <f>O92/O91-1</f>
        <v>0.1475540124503274</v>
      </c>
      <c r="Q92" s="10"/>
      <c r="R92" s="65"/>
      <c r="S92" s="65"/>
      <c r="T92" s="65"/>
    </row>
    <row r="93" spans="2:17" s="65" customFormat="1" ht="15">
      <c r="B93" s="95" t="s">
        <v>58</v>
      </c>
      <c r="C93" s="13">
        <v>37.592</v>
      </c>
      <c r="D93" s="37">
        <v>38.044</v>
      </c>
      <c r="E93" s="37">
        <v>43.343</v>
      </c>
      <c r="F93" s="37">
        <v>43.391</v>
      </c>
      <c r="G93" s="37">
        <v>43.43</v>
      </c>
      <c r="H93" s="37">
        <v>42.576</v>
      </c>
      <c r="I93" s="37">
        <v>42.576</v>
      </c>
      <c r="J93" s="37">
        <v>42.667</v>
      </c>
      <c r="K93" s="37">
        <v>42.491</v>
      </c>
      <c r="L93" s="37">
        <v>42.687</v>
      </c>
      <c r="M93" s="37">
        <v>42.73</v>
      </c>
      <c r="N93" s="38">
        <v>42.396</v>
      </c>
      <c r="O93" s="16">
        <f>AVERAGE(C93:N93)</f>
        <v>41.99358333333334</v>
      </c>
      <c r="P93" s="97">
        <f>O93/O92-1</f>
        <v>0.19112992627575598</v>
      </c>
      <c r="Q93" s="10"/>
    </row>
    <row r="94" spans="2:20" ht="15.75" thickBot="1">
      <c r="B94" s="79" t="s">
        <v>93</v>
      </c>
      <c r="C94" s="101">
        <v>42.29</v>
      </c>
      <c r="D94" s="18">
        <v>42.73</v>
      </c>
      <c r="E94" s="18">
        <v>44.264</v>
      </c>
      <c r="F94" s="18">
        <v>44.09</v>
      </c>
      <c r="G94" s="18">
        <v>43.985</v>
      </c>
      <c r="H94" s="18">
        <v>43.6</v>
      </c>
      <c r="I94" s="18">
        <v>43.833</v>
      </c>
      <c r="J94" s="18">
        <v>43.22</v>
      </c>
      <c r="K94" s="18">
        <v>42.695</v>
      </c>
      <c r="L94" s="18">
        <v>43.616</v>
      </c>
      <c r="M94" s="18">
        <v>43.99</v>
      </c>
      <c r="N94" s="18">
        <v>44.325</v>
      </c>
      <c r="O94" s="53">
        <f>AVERAGE(C94:N94)</f>
        <v>43.55316666666667</v>
      </c>
      <c r="P94" s="28">
        <f>O94/O93-1</f>
        <v>0.03713861046231259</v>
      </c>
      <c r="Q94" s="10"/>
      <c r="R94" s="65"/>
      <c r="S94" s="65"/>
      <c r="T94" s="65"/>
    </row>
    <row r="95" spans="2:18" ht="15">
      <c r="B95" s="31" t="s">
        <v>17</v>
      </c>
      <c r="M95" s="30"/>
      <c r="Q95" s="10"/>
      <c r="R95" s="65"/>
    </row>
    <row r="96" spans="3:17" ht="15">
      <c r="C96" s="15"/>
      <c r="D96" s="104"/>
      <c r="J96" s="15"/>
      <c r="K96" s="15"/>
      <c r="L96" s="15"/>
      <c r="Q96" s="10"/>
    </row>
    <row r="97" spans="4:17" ht="15">
      <c r="D97" s="15"/>
      <c r="Q97" s="10"/>
    </row>
    <row r="98" ht="15">
      <c r="Q98" s="10"/>
    </row>
    <row r="99" ht="15">
      <c r="Q99" s="10"/>
    </row>
    <row r="100" ht="15">
      <c r="Q100" s="10"/>
    </row>
    <row r="101" ht="15">
      <c r="O101" s="10"/>
    </row>
    <row r="102" ht="15">
      <c r="O102" s="15"/>
    </row>
    <row r="103" ht="15">
      <c r="O103" s="15"/>
    </row>
    <row r="104" ht="15">
      <c r="O104" s="15"/>
    </row>
    <row r="105" ht="15">
      <c r="O105" s="15"/>
    </row>
    <row r="106" ht="15">
      <c r="O106" s="15"/>
    </row>
    <row r="107" ht="15">
      <c r="O107" s="15"/>
    </row>
    <row r="108" ht="15">
      <c r="O108" s="15"/>
    </row>
    <row r="109" ht="15">
      <c r="O109" s="15"/>
    </row>
    <row r="110" ht="15">
      <c r="O110" s="15"/>
    </row>
    <row r="111" ht="15">
      <c r="O111" s="15"/>
    </row>
    <row r="112" ht="15">
      <c r="O112" s="15"/>
    </row>
    <row r="113" ht="15">
      <c r="O113" s="15"/>
    </row>
    <row r="114" ht="15">
      <c r="A114" s="15"/>
    </row>
    <row r="115" spans="1:15" ht="15">
      <c r="A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1:17" ht="1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Q116" s="15"/>
    </row>
    <row r="117" spans="1:17" ht="1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Q117" s="15"/>
    </row>
    <row r="118" spans="1:17" ht="1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Q118" s="15"/>
    </row>
    <row r="119" spans="1:17" ht="1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Q119" s="15"/>
    </row>
    <row r="120" spans="1:17" ht="1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Q120" s="15"/>
    </row>
    <row r="121" spans="1:17" ht="1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Q121" s="15"/>
    </row>
    <row r="122" spans="1:17" ht="1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Q122" s="15"/>
    </row>
    <row r="123" spans="1:17" ht="1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Q123" s="15"/>
    </row>
    <row r="124" spans="1:17" ht="1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Q124" s="15"/>
    </row>
    <row r="125" spans="1:17" ht="1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Q125" s="15"/>
    </row>
    <row r="126" spans="3:15" ht="15"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</row>
  </sheetData>
  <sheetProtection/>
  <mergeCells count="7">
    <mergeCell ref="F72:J72"/>
    <mergeCell ref="E10:M10"/>
    <mergeCell ref="E41:M41"/>
    <mergeCell ref="W10:AE10"/>
    <mergeCell ref="W41:AE41"/>
    <mergeCell ref="B40:R40"/>
    <mergeCell ref="B71:R71"/>
  </mergeCells>
  <hyperlinks>
    <hyperlink ref="V6" location="'Listado Datos'!A1" display="Acceder al listado de datos"/>
  </hyperlinks>
  <printOptions/>
  <pageMargins left="0" right="0" top="0" bottom="0" header="0" footer="0"/>
  <pageSetup horizontalDpi="600" verticalDpi="600" orientation="landscape" paperSize="9"/>
  <ignoredErrors>
    <ignoredError sqref="O72:O73 O27 O57:O58 O13:O26 O75:O89 O43:O56 AG13:AG27 AG44:AG58" formulaRange="1"/>
    <ignoredError sqref="B90:B94 B28:B32 B59:B62 T28:T32 T59:T62 B63 S63:T6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Q65"/>
  <sheetViews>
    <sheetView showGridLines="0" zoomScalePageLayoutView="0" workbookViewId="0" topLeftCell="A32">
      <selection activeCell="O56" sqref="O56"/>
    </sheetView>
  </sheetViews>
  <sheetFormatPr defaultColWidth="11.421875" defaultRowHeight="15"/>
  <cols>
    <col min="1" max="1" width="17.421875" style="65" customWidth="1"/>
    <col min="2" max="2" width="13.8515625" style="32" customWidth="1"/>
    <col min="3" max="3" width="8.421875" style="65" customWidth="1"/>
    <col min="4" max="4" width="8.421875" style="65" bestFit="1" customWidth="1"/>
    <col min="5" max="5" width="8.8515625" style="65" customWidth="1"/>
    <col min="6" max="6" width="8.421875" style="65" customWidth="1"/>
    <col min="7" max="7" width="10.00390625" style="65" customWidth="1"/>
    <col min="8" max="8" width="9.8515625" style="65" customWidth="1"/>
    <col min="9" max="9" width="8.7109375" style="65" customWidth="1"/>
    <col min="10" max="10" width="8.8515625" style="65" customWidth="1"/>
    <col min="11" max="11" width="8.140625" style="65" customWidth="1"/>
    <col min="12" max="13" width="8.421875" style="65" customWidth="1"/>
    <col min="14" max="14" width="8.140625" style="65" customWidth="1"/>
    <col min="15" max="15" width="11.140625" style="65" customWidth="1"/>
    <col min="16" max="16" width="9.00390625" style="65" customWidth="1"/>
    <col min="17" max="16384" width="11.421875" style="65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6:12" ht="15.75" thickBot="1">
      <c r="F10" s="287" t="s">
        <v>51</v>
      </c>
      <c r="G10" s="288"/>
      <c r="H10" s="288"/>
      <c r="I10" s="288"/>
      <c r="J10" s="289"/>
      <c r="L10" s="19" t="s">
        <v>15</v>
      </c>
    </row>
    <row r="11" ht="15.75" thickBot="1"/>
    <row r="12" spans="7:9" ht="15.75" thickBot="1">
      <c r="G12" s="290" t="s">
        <v>29</v>
      </c>
      <c r="H12" s="291"/>
      <c r="I12" s="292"/>
    </row>
    <row r="13" ht="15.75" thickBot="1"/>
    <row r="14" spans="2:16" ht="29.25" customHeight="1" thickBot="1">
      <c r="B14" s="70" t="s">
        <v>13</v>
      </c>
      <c r="C14" s="3" t="s">
        <v>1</v>
      </c>
      <c r="D14" s="3" t="s">
        <v>2</v>
      </c>
      <c r="E14" s="3" t="s">
        <v>3</v>
      </c>
      <c r="F14" s="3" t="s">
        <v>4</v>
      </c>
      <c r="G14" s="3" t="s">
        <v>5</v>
      </c>
      <c r="H14" s="3" t="s">
        <v>6</v>
      </c>
      <c r="I14" s="3" t="s">
        <v>7</v>
      </c>
      <c r="J14" s="3" t="s">
        <v>8</v>
      </c>
      <c r="K14" s="3" t="s">
        <v>9</v>
      </c>
      <c r="L14" s="3" t="s">
        <v>10</v>
      </c>
      <c r="M14" s="3" t="s">
        <v>11</v>
      </c>
      <c r="N14" s="3" t="s">
        <v>12</v>
      </c>
      <c r="O14" s="57" t="s">
        <v>57</v>
      </c>
      <c r="P14" s="4" t="s">
        <v>30</v>
      </c>
    </row>
    <row r="15" spans="2:17" s="26" customFormat="1" ht="15">
      <c r="B15" s="33">
        <v>2012</v>
      </c>
      <c r="C15" s="71">
        <v>0.03579617477075158</v>
      </c>
      <c r="D15" s="72">
        <v>0.03703761419417095</v>
      </c>
      <c r="E15" s="72">
        <v>0.038358175827052025</v>
      </c>
      <c r="F15" s="72">
        <v>0.0383347183876869</v>
      </c>
      <c r="G15" s="72">
        <v>0.03833987660622968</v>
      </c>
      <c r="H15" s="72">
        <v>0.038223088428491446</v>
      </c>
      <c r="I15" s="72">
        <v>0.03767628968919368</v>
      </c>
      <c r="J15" s="72">
        <v>0.037198806446450954</v>
      </c>
      <c r="K15" s="72">
        <v>0.03639779403166353</v>
      </c>
      <c r="L15" s="72">
        <v>0.036648371358422034</v>
      </c>
      <c r="M15" s="72">
        <v>0.03553043272711484</v>
      </c>
      <c r="N15" s="72">
        <v>0.03560353974437914</v>
      </c>
      <c r="O15" s="73">
        <v>0.03703176345625384</v>
      </c>
      <c r="P15" s="6"/>
      <c r="Q15" s="74"/>
    </row>
    <row r="16" spans="2:17" s="26" customFormat="1" ht="15">
      <c r="B16" s="33">
        <v>2013</v>
      </c>
      <c r="C16" s="71">
        <v>0.036288317298224494</v>
      </c>
      <c r="D16" s="72">
        <v>0.03729028991220782</v>
      </c>
      <c r="E16" s="72">
        <v>0.03854445558263453</v>
      </c>
      <c r="F16" s="72">
        <v>0.03842190951342333</v>
      </c>
      <c r="G16" s="72">
        <v>0.03814541485366151</v>
      </c>
      <c r="H16" s="72">
        <v>0.037312759399958734</v>
      </c>
      <c r="I16" s="72">
        <v>0.037399445466680864</v>
      </c>
      <c r="J16" s="72">
        <v>0.036527945399695665</v>
      </c>
      <c r="K16" s="72">
        <v>0.03678877829791813</v>
      </c>
      <c r="L16" s="72">
        <v>0.03594818698199392</v>
      </c>
      <c r="M16" s="72">
        <v>0.03580739172333869</v>
      </c>
      <c r="N16" s="72">
        <v>0.03573364890709869</v>
      </c>
      <c r="O16" s="73">
        <v>0.03691917265479156</v>
      </c>
      <c r="P16" s="6">
        <f aca="true" t="shared" si="0" ref="P16:P24">O16/O15-1</f>
        <v>-0.0030403845497470883</v>
      </c>
      <c r="Q16" s="74"/>
    </row>
    <row r="17" spans="2:17" s="26" customFormat="1" ht="15">
      <c r="B17" s="33">
        <v>2014</v>
      </c>
      <c r="C17" s="71">
        <v>0.03649102222985257</v>
      </c>
      <c r="D17" s="72">
        <v>0.03796686882900971</v>
      </c>
      <c r="E17" s="72">
        <v>0.03855801492827601</v>
      </c>
      <c r="F17" s="72">
        <v>0.03885587895778327</v>
      </c>
      <c r="G17" s="72">
        <v>0.03832165259878562</v>
      </c>
      <c r="H17" s="72">
        <v>0.03839686761097608</v>
      </c>
      <c r="I17" s="72">
        <v>0.03740476359144125</v>
      </c>
      <c r="J17" s="72">
        <v>0.036688853254171545</v>
      </c>
      <c r="K17" s="72">
        <v>0.036461146616984325</v>
      </c>
      <c r="L17" s="72">
        <v>0.03613423402465657</v>
      </c>
      <c r="M17" s="72">
        <v>0.03644466178482631</v>
      </c>
      <c r="N17" s="72">
        <v>0.0369165166509213</v>
      </c>
      <c r="O17" s="73">
        <v>0.0372617223691949</v>
      </c>
      <c r="P17" s="6">
        <f t="shared" si="0"/>
        <v>0.009278369198744363</v>
      </c>
      <c r="Q17" s="74"/>
    </row>
    <row r="18" spans="2:17" s="26" customFormat="1" ht="15">
      <c r="B18" s="33" t="s">
        <v>31</v>
      </c>
      <c r="C18" s="71">
        <v>0.037133287243522196</v>
      </c>
      <c r="D18" s="72">
        <v>0.03749862794126648</v>
      </c>
      <c r="E18" s="72">
        <v>0.0386057712301395</v>
      </c>
      <c r="F18" s="72">
        <v>0.03958544064058887</v>
      </c>
      <c r="G18" s="72">
        <v>0.03904576585337965</v>
      </c>
      <c r="H18" s="72">
        <v>0.038547358369021005</v>
      </c>
      <c r="I18" s="72">
        <v>0.037943885692989184</v>
      </c>
      <c r="J18" s="72">
        <v>0.03740700428013389</v>
      </c>
      <c r="K18" s="72">
        <v>0.03613548664822949</v>
      </c>
      <c r="L18" s="72">
        <v>0.035904060675028195</v>
      </c>
      <c r="M18" s="72">
        <v>0.03613642642768046</v>
      </c>
      <c r="N18" s="72">
        <v>0.03621430416455915</v>
      </c>
      <c r="O18" s="73">
        <v>0.03744532039883173</v>
      </c>
      <c r="P18" s="6">
        <f t="shared" si="0"/>
        <v>0.00492725558463758</v>
      </c>
      <c r="Q18" s="74"/>
    </row>
    <row r="19" spans="2:17" s="26" customFormat="1" ht="15">
      <c r="B19" s="33" t="s">
        <v>32</v>
      </c>
      <c r="C19" s="71">
        <v>0.036878971220495466</v>
      </c>
      <c r="D19" s="72">
        <v>0.03758607966782719</v>
      </c>
      <c r="E19" s="72">
        <v>0.03929811843341421</v>
      </c>
      <c r="F19" s="72">
        <v>0.04067007904755893</v>
      </c>
      <c r="G19" s="72">
        <v>0.039906146893801335</v>
      </c>
      <c r="H19" s="72">
        <v>0.03938602551979737</v>
      </c>
      <c r="I19" s="72">
        <v>0.0389109338264314</v>
      </c>
      <c r="J19" s="72">
        <v>0.036812</v>
      </c>
      <c r="K19" s="72">
        <v>0.03723442851122823</v>
      </c>
      <c r="L19" s="72">
        <v>0.03616899749455586</v>
      </c>
      <c r="M19" s="72">
        <v>0.0356652635379653</v>
      </c>
      <c r="N19" s="72">
        <v>0.0364283170547602</v>
      </c>
      <c r="O19" s="73">
        <v>0.03774960080804217</v>
      </c>
      <c r="P19" s="6">
        <f t="shared" si="0"/>
        <v>0.008125992940360316</v>
      </c>
      <c r="Q19" s="74"/>
    </row>
    <row r="20" spans="2:17" s="26" customFormat="1" ht="15">
      <c r="B20" s="33" t="s">
        <v>23</v>
      </c>
      <c r="C20" s="71">
        <v>0.0371032053195308</v>
      </c>
      <c r="D20" s="72">
        <v>0.03830204419347155</v>
      </c>
      <c r="E20" s="72">
        <v>0.038643245509654624</v>
      </c>
      <c r="F20" s="72">
        <v>0.03927576327675199</v>
      </c>
      <c r="G20" s="72">
        <v>0.039582</v>
      </c>
      <c r="H20" s="72">
        <v>0.038579279580492475</v>
      </c>
      <c r="I20" s="72">
        <v>0.03802016659385219</v>
      </c>
      <c r="J20" s="72">
        <v>0.037096000000000004</v>
      </c>
      <c r="K20" s="72">
        <v>0.03746890935950799</v>
      </c>
      <c r="L20" s="72">
        <v>0.0368089009845406</v>
      </c>
      <c r="M20" s="72">
        <v>0.035943881043044</v>
      </c>
      <c r="N20" s="72">
        <v>0.036488033689386</v>
      </c>
      <c r="O20" s="73">
        <v>0.03770191103725318</v>
      </c>
      <c r="P20" s="6">
        <f t="shared" si="0"/>
        <v>-0.0012633185455787066</v>
      </c>
      <c r="Q20" s="74"/>
    </row>
    <row r="21" spans="2:17" ht="15">
      <c r="B21" s="33" t="s">
        <v>28</v>
      </c>
      <c r="C21" s="71">
        <v>0.036844148904566235</v>
      </c>
      <c r="D21" s="72">
        <v>0.0374633333333333</v>
      </c>
      <c r="E21" s="72">
        <v>0.0391449479987882</v>
      </c>
      <c r="F21" s="72">
        <v>0.03896645720475867</v>
      </c>
      <c r="G21" s="72">
        <v>0.038774207974498605</v>
      </c>
      <c r="H21" s="77">
        <v>0.038874150611579214</v>
      </c>
      <c r="I21" s="77">
        <v>0.03888120296029351</v>
      </c>
      <c r="J21" s="77">
        <v>0.03805375931699189</v>
      </c>
      <c r="K21" s="77">
        <v>0.037414030875804895</v>
      </c>
      <c r="L21" s="77">
        <v>0.03716888342388084</v>
      </c>
      <c r="M21" s="77">
        <v>0.036710262631146</v>
      </c>
      <c r="N21" s="77">
        <v>0.03718247009850685</v>
      </c>
      <c r="O21" s="73">
        <v>0.037876508382417094</v>
      </c>
      <c r="P21" s="6">
        <f t="shared" si="0"/>
        <v>0.004630994566598989</v>
      </c>
      <c r="Q21" s="9"/>
    </row>
    <row r="22" spans="2:17" ht="15">
      <c r="B22" s="95" t="s">
        <v>52</v>
      </c>
      <c r="C22" s="71">
        <v>0.037683616746510516</v>
      </c>
      <c r="D22" s="72">
        <v>0.03835259851998182</v>
      </c>
      <c r="E22" s="72">
        <v>0.03902956152406674</v>
      </c>
      <c r="F22" s="72">
        <v>0.03910110337245398</v>
      </c>
      <c r="G22" s="72">
        <v>0.03975194096632447</v>
      </c>
      <c r="H22" s="77">
        <v>0.03908680521485916</v>
      </c>
      <c r="I22" s="77">
        <v>0.038150684086623414</v>
      </c>
      <c r="J22" s="77">
        <v>0.037679358512912056</v>
      </c>
      <c r="K22" s="77">
        <v>0.03724004631475339</v>
      </c>
      <c r="L22" s="77">
        <v>0.0374225721414845</v>
      </c>
      <c r="M22" s="77">
        <v>0.03659264306288952</v>
      </c>
      <c r="N22" s="77">
        <v>0.03753872260167412</v>
      </c>
      <c r="O22" s="73">
        <v>0.0378565751172001</v>
      </c>
      <c r="P22" s="97">
        <f t="shared" si="0"/>
        <v>-0.0005262698719675774</v>
      </c>
      <c r="Q22" s="9"/>
    </row>
    <row r="23" spans="2:17" ht="15">
      <c r="B23" s="95" t="s">
        <v>58</v>
      </c>
      <c r="C23" s="71">
        <v>0.03739749596965185</v>
      </c>
      <c r="D23" s="72">
        <v>0.03801429026906283</v>
      </c>
      <c r="E23" s="72">
        <v>0.0392396783704749</v>
      </c>
      <c r="F23" s="72">
        <v>0.03961769921485941</v>
      </c>
      <c r="G23" s="72">
        <v>0.039949612633145316</v>
      </c>
      <c r="H23" s="77">
        <v>0.03880706870147061</v>
      </c>
      <c r="I23" s="77">
        <v>0.03804610424946977</v>
      </c>
      <c r="J23" s="77">
        <v>0.037302643204279756</v>
      </c>
      <c r="K23" s="77">
        <v>0.037648015627409374</v>
      </c>
      <c r="L23" s="77">
        <v>0.037425891396686915</v>
      </c>
      <c r="M23" s="77">
        <v>0.03666161863335224</v>
      </c>
      <c r="N23" s="77">
        <v>0.037487889888289494</v>
      </c>
      <c r="O23" s="73">
        <v>0.038014784</v>
      </c>
      <c r="P23" s="97">
        <f t="shared" si="0"/>
        <v>0.0041791652390661405</v>
      </c>
      <c r="Q23" s="74"/>
    </row>
    <row r="24" spans="2:16" ht="15.75" thickBot="1">
      <c r="B24" s="79" t="s">
        <v>93</v>
      </c>
      <c r="C24" s="99">
        <v>0.037789499842258024</v>
      </c>
      <c r="D24" s="103">
        <v>0.03877011854529167</v>
      </c>
      <c r="E24" s="103">
        <v>0.03965221808488168</v>
      </c>
      <c r="F24" s="103">
        <v>0.04003982141004441</v>
      </c>
      <c r="G24" s="103">
        <v>0.03989288377949316</v>
      </c>
      <c r="H24" s="103">
        <v>0.039796523892949194</v>
      </c>
      <c r="I24" s="103">
        <v>0.03894782936468033</v>
      </c>
      <c r="J24" s="103">
        <v>0.038296461804712974</v>
      </c>
      <c r="K24" s="103">
        <v>0.03827043516116686</v>
      </c>
      <c r="L24" s="103">
        <v>0.03785637438322947</v>
      </c>
      <c r="M24" s="103">
        <v>0.03747799852881825</v>
      </c>
      <c r="N24" s="113">
        <v>0.03690895348311871</v>
      </c>
      <c r="O24" s="114">
        <v>0.038561718586448086</v>
      </c>
      <c r="P24" s="28">
        <f t="shared" si="0"/>
        <v>0.01438741797002141</v>
      </c>
    </row>
    <row r="25" spans="2:17" ht="15">
      <c r="B25" s="31" t="s">
        <v>33</v>
      </c>
      <c r="C25" s="2"/>
      <c r="D25" s="2"/>
      <c r="E25" s="2"/>
      <c r="F25" s="2"/>
      <c r="G25" s="2"/>
      <c r="N25" s="2"/>
      <c r="O25" s="16"/>
      <c r="P25" s="75"/>
      <c r="Q25" s="9"/>
    </row>
    <row r="26" spans="2:17" ht="15">
      <c r="B26" s="61" t="s">
        <v>34</v>
      </c>
      <c r="C26" s="2"/>
      <c r="D26" s="2"/>
      <c r="E26" s="2"/>
      <c r="F26" s="2"/>
      <c r="J26" s="2"/>
      <c r="K26" s="2"/>
      <c r="L26" s="2"/>
      <c r="M26" s="2"/>
      <c r="N26" s="2"/>
      <c r="O26" s="16"/>
      <c r="P26" s="75"/>
      <c r="Q26" s="9"/>
    </row>
    <row r="27" spans="2:17" ht="15.75" thickBot="1">
      <c r="B27" s="65"/>
      <c r="Q27" s="1"/>
    </row>
    <row r="28" spans="2:9" ht="15.75" thickBot="1">
      <c r="B28" s="65"/>
      <c r="G28" s="290" t="s">
        <v>35</v>
      </c>
      <c r="H28" s="291" t="s">
        <v>0</v>
      </c>
      <c r="I28" s="292"/>
    </row>
    <row r="29" ht="15.75" thickBot="1"/>
    <row r="30" spans="2:16" ht="60.75" thickBot="1">
      <c r="B30" s="70"/>
      <c r="C30" s="3" t="s">
        <v>1</v>
      </c>
      <c r="D30" s="3" t="s">
        <v>2</v>
      </c>
      <c r="E30" s="3" t="s">
        <v>3</v>
      </c>
      <c r="F30" s="3" t="s">
        <v>4</v>
      </c>
      <c r="G30" s="3" t="s">
        <v>5</v>
      </c>
      <c r="H30" s="3" t="s">
        <v>6</v>
      </c>
      <c r="I30" s="3" t="s">
        <v>7</v>
      </c>
      <c r="J30" s="3" t="s">
        <v>8</v>
      </c>
      <c r="K30" s="3" t="s">
        <v>9</v>
      </c>
      <c r="L30" s="3" t="s">
        <v>10</v>
      </c>
      <c r="M30" s="3" t="s">
        <v>11</v>
      </c>
      <c r="N30" s="3" t="s">
        <v>12</v>
      </c>
      <c r="O30" s="57" t="s">
        <v>57</v>
      </c>
      <c r="P30" s="4" t="s">
        <v>30</v>
      </c>
    </row>
    <row r="31" spans="2:17" s="26" customFormat="1" ht="15">
      <c r="B31" s="33">
        <v>2012</v>
      </c>
      <c r="C31" s="76">
        <v>0.031896710522575145</v>
      </c>
      <c r="D31" s="77">
        <v>0.032413934120294134</v>
      </c>
      <c r="E31" s="77">
        <v>0.033607408087325936</v>
      </c>
      <c r="F31" s="77">
        <v>0.03392978376806663</v>
      </c>
      <c r="G31" s="77">
        <v>0.03394080538232524</v>
      </c>
      <c r="H31" s="77">
        <v>0.03406594969796106</v>
      </c>
      <c r="I31" s="77">
        <v>0.0338148862307778</v>
      </c>
      <c r="J31" s="77">
        <v>0.03350707310005466</v>
      </c>
      <c r="K31" s="77">
        <v>0.03372184591267667</v>
      </c>
      <c r="L31" s="77">
        <v>0.033212087648075775</v>
      </c>
      <c r="M31" s="77">
        <v>0.03204562891116803</v>
      </c>
      <c r="N31" s="77">
        <v>0.031532529342885036</v>
      </c>
      <c r="O31" s="73">
        <v>0.03312947813413826</v>
      </c>
      <c r="P31" s="97"/>
      <c r="Q31" s="74"/>
    </row>
    <row r="32" spans="2:17" s="26" customFormat="1" ht="15">
      <c r="B32" s="33">
        <v>2013</v>
      </c>
      <c r="C32" s="71">
        <v>0.03181780583546414</v>
      </c>
      <c r="D32" s="72">
        <v>0.0322375818164938</v>
      </c>
      <c r="E32" s="72">
        <v>0.0339887559047379</v>
      </c>
      <c r="F32" s="72">
        <v>0.034012864214348446</v>
      </c>
      <c r="G32" s="72">
        <v>0.03401857428097719</v>
      </c>
      <c r="H32" s="72">
        <v>0.03359666248453726</v>
      </c>
      <c r="I32" s="72">
        <v>0.0331454567274076</v>
      </c>
      <c r="J32" s="72">
        <v>0.03334758396423701</v>
      </c>
      <c r="K32" s="72">
        <v>0.033873507991723326</v>
      </c>
      <c r="L32" s="72">
        <v>0.03346195560189797</v>
      </c>
      <c r="M32" s="72">
        <v>0.03277855606191494</v>
      </c>
      <c r="N32" s="72">
        <v>0.03186909822616283</v>
      </c>
      <c r="O32" s="73">
        <v>0.033186141896065696</v>
      </c>
      <c r="P32" s="97">
        <f aca="true" t="shared" si="1" ref="P32:P40">O32/O31-1</f>
        <v>0.0017103729101317633</v>
      </c>
      <c r="Q32" s="74"/>
    </row>
    <row r="33" spans="2:17" s="26" customFormat="1" ht="15">
      <c r="B33" s="33">
        <v>2014</v>
      </c>
      <c r="C33" s="71">
        <v>0.03217845470754938</v>
      </c>
      <c r="D33" s="72">
        <v>0.03301319050094152</v>
      </c>
      <c r="E33" s="72">
        <v>0.03425824285331236</v>
      </c>
      <c r="F33" s="72">
        <v>0.03445225285035762</v>
      </c>
      <c r="G33" s="72">
        <v>0.03428988946348824</v>
      </c>
      <c r="H33" s="72">
        <v>0.0340562785474676</v>
      </c>
      <c r="I33" s="72">
        <v>0.0334120533319022</v>
      </c>
      <c r="J33" s="72">
        <v>0.03369298913039023</v>
      </c>
      <c r="K33" s="72">
        <v>0.03376821786754443</v>
      </c>
      <c r="L33" s="72">
        <v>0.033299931468311235</v>
      </c>
      <c r="M33" s="72">
        <v>0.032806306043221295</v>
      </c>
      <c r="N33" s="72">
        <v>0.032365486829582964</v>
      </c>
      <c r="O33" s="73">
        <v>0.03342991119348051</v>
      </c>
      <c r="P33" s="97">
        <f t="shared" si="1"/>
        <v>0.0073455148289989225</v>
      </c>
      <c r="Q33" s="74"/>
    </row>
    <row r="34" spans="2:17" s="26" customFormat="1" ht="15">
      <c r="B34" s="33" t="s">
        <v>31</v>
      </c>
      <c r="C34" s="71">
        <v>0.03217459024186515</v>
      </c>
      <c r="D34" s="72">
        <v>0.03281563856670777</v>
      </c>
      <c r="E34" s="72">
        <v>0.033700444937947</v>
      </c>
      <c r="F34" s="72">
        <v>0.03390009753411925</v>
      </c>
      <c r="G34" s="72">
        <v>0.03372022413651268</v>
      </c>
      <c r="H34" s="72">
        <v>0.0335267551931315</v>
      </c>
      <c r="I34" s="72">
        <v>0.03321672666124957</v>
      </c>
      <c r="J34" s="72">
        <v>0.03318481433095363</v>
      </c>
      <c r="K34" s="72">
        <v>0.03399669762154059</v>
      </c>
      <c r="L34" s="72">
        <v>0.03405924908109689</v>
      </c>
      <c r="M34" s="72">
        <v>0.03319912332876779</v>
      </c>
      <c r="N34" s="72">
        <v>0.03236483324388783</v>
      </c>
      <c r="O34" s="73">
        <v>0.03326956410783115</v>
      </c>
      <c r="P34" s="97">
        <f t="shared" si="1"/>
        <v>-0.004796515453520889</v>
      </c>
      <c r="Q34" s="74"/>
    </row>
    <row r="35" spans="2:17" s="26" customFormat="1" ht="15">
      <c r="B35" s="33" t="s">
        <v>32</v>
      </c>
      <c r="C35" s="71">
        <v>0.03215825390909887</v>
      </c>
      <c r="D35" s="72">
        <v>0.032640208444033855</v>
      </c>
      <c r="E35" s="72">
        <v>0.03423559912244178</v>
      </c>
      <c r="F35" s="72">
        <v>0.03392973065326038</v>
      </c>
      <c r="G35" s="72">
        <v>0.03423156377307105</v>
      </c>
      <c r="H35" s="72">
        <v>0.03390973119897232</v>
      </c>
      <c r="I35" s="72">
        <v>0.033524259056452</v>
      </c>
      <c r="J35" s="72">
        <v>0.033243</v>
      </c>
      <c r="K35" s="72">
        <v>0.03398549720138555</v>
      </c>
      <c r="L35" s="72">
        <v>0.03333353823107157</v>
      </c>
      <c r="M35" s="72">
        <v>0.032591569349782</v>
      </c>
      <c r="N35" s="72">
        <v>0.0326114957275559</v>
      </c>
      <c r="O35" s="73">
        <v>0.03337232789459249</v>
      </c>
      <c r="P35" s="97">
        <f t="shared" si="1"/>
        <v>0.0030888227578897975</v>
      </c>
      <c r="Q35" s="74"/>
    </row>
    <row r="36" spans="2:17" s="26" customFormat="1" ht="15">
      <c r="B36" s="33" t="s">
        <v>23</v>
      </c>
      <c r="C36" s="71">
        <v>0.0327449912077789</v>
      </c>
      <c r="D36" s="72">
        <v>0.032995269823492365</v>
      </c>
      <c r="E36" s="72">
        <v>0.034068480371927216</v>
      </c>
      <c r="F36" s="72">
        <v>0.03442909388849555</v>
      </c>
      <c r="G36" s="72">
        <v>0.03444</v>
      </c>
      <c r="H36" s="72">
        <v>0.03455535196931061</v>
      </c>
      <c r="I36" s="72">
        <v>0.03380129242866225</v>
      </c>
      <c r="J36" s="72">
        <v>0.033941000000000006</v>
      </c>
      <c r="K36" s="72">
        <v>0.03315522635109928</v>
      </c>
      <c r="L36" s="72">
        <v>0.0330035540517109</v>
      </c>
      <c r="M36" s="72">
        <v>0.0328799920472478</v>
      </c>
      <c r="N36" s="72">
        <v>0.0322336873021668</v>
      </c>
      <c r="O36" s="73">
        <v>0.03346294620774004</v>
      </c>
      <c r="P36" s="97">
        <f t="shared" si="1"/>
        <v>0.002715372851236797</v>
      </c>
      <c r="Q36" s="74"/>
    </row>
    <row r="37" spans="2:17" ht="15">
      <c r="B37" s="33" t="s">
        <v>28</v>
      </c>
      <c r="C37" s="71">
        <v>0.03261170135326592</v>
      </c>
      <c r="D37" s="72">
        <v>0.0330422222222222</v>
      </c>
      <c r="E37" s="72">
        <v>0.03457638229493187</v>
      </c>
      <c r="F37" s="72">
        <v>0.03406576235973241</v>
      </c>
      <c r="G37" s="72">
        <v>0.034436135383380105</v>
      </c>
      <c r="H37" s="77">
        <v>0.03468764298876996</v>
      </c>
      <c r="I37" s="77">
        <v>0.03411382074286477</v>
      </c>
      <c r="J37" s="77">
        <v>0.034231236364171656</v>
      </c>
      <c r="K37" s="77">
        <v>0.033860148714465105</v>
      </c>
      <c r="L37" s="77">
        <v>0.03343693707231574</v>
      </c>
      <c r="M37" s="77">
        <v>0.033184630792155</v>
      </c>
      <c r="N37" s="77">
        <v>0.03306849245864689</v>
      </c>
      <c r="O37" s="73">
        <v>0.03374571165036423</v>
      </c>
      <c r="P37" s="97">
        <f t="shared" si="1"/>
        <v>0.008450106002883429</v>
      </c>
      <c r="Q37" s="9"/>
    </row>
    <row r="38" spans="2:16" ht="15">
      <c r="B38" s="95" t="s">
        <v>52</v>
      </c>
      <c r="C38" s="71">
        <v>0.03296543732669204</v>
      </c>
      <c r="D38" s="72">
        <v>0.03369471998293198</v>
      </c>
      <c r="E38" s="72">
        <v>0.034760915937600556</v>
      </c>
      <c r="F38" s="72">
        <v>0.03432032767241249</v>
      </c>
      <c r="G38" s="72">
        <v>0.0346343867060941</v>
      </c>
      <c r="H38" s="77">
        <v>0.03434105004538754</v>
      </c>
      <c r="I38" s="77">
        <v>0.03435961938614345</v>
      </c>
      <c r="J38" s="77">
        <v>0.03428137109832948</v>
      </c>
      <c r="K38" s="77">
        <v>0.03489627730598962</v>
      </c>
      <c r="L38" s="77">
        <v>0.03452640773601025</v>
      </c>
      <c r="M38" s="77">
        <v>0.03341746801593613</v>
      </c>
      <c r="N38" s="77">
        <v>0.03265825485397235</v>
      </c>
      <c r="O38" s="73">
        <v>0.03393703795873527</v>
      </c>
      <c r="P38" s="97">
        <f t="shared" si="1"/>
        <v>0.00566964805345771</v>
      </c>
    </row>
    <row r="39" spans="2:17" ht="15">
      <c r="B39" s="95" t="s">
        <v>58</v>
      </c>
      <c r="C39" s="71">
        <v>0.0332337826354775</v>
      </c>
      <c r="D39" s="72">
        <v>0.03398280782732608</v>
      </c>
      <c r="E39" s="72">
        <v>0.034167390312465976</v>
      </c>
      <c r="F39" s="72">
        <v>0.03462930027303626</v>
      </c>
      <c r="G39" s="72">
        <v>0.03539420868170161</v>
      </c>
      <c r="H39" s="77">
        <v>0.034743063102669135</v>
      </c>
      <c r="I39" s="77">
        <v>0.035099079330957544</v>
      </c>
      <c r="J39" s="77">
        <v>0.03520181129852909</v>
      </c>
      <c r="K39" s="77">
        <v>0.03519048042004437</v>
      </c>
      <c r="L39" s="77">
        <v>0.03452523748146483</v>
      </c>
      <c r="M39" s="77">
        <v>0.03352549194237858</v>
      </c>
      <c r="N39" s="77">
        <v>0.033334936075760414</v>
      </c>
      <c r="O39" s="73">
        <v>0.03411216</v>
      </c>
      <c r="P39" s="97">
        <f t="shared" si="1"/>
        <v>0.005160204066060992</v>
      </c>
      <c r="Q39" s="74"/>
    </row>
    <row r="40" spans="2:16" ht="15.75" thickBot="1">
      <c r="B40" s="79" t="s">
        <v>93</v>
      </c>
      <c r="C40" s="99">
        <v>0.03368155105779607</v>
      </c>
      <c r="D40" s="103">
        <v>0.034587439972645594</v>
      </c>
      <c r="E40" s="103">
        <v>0.034922349541397786</v>
      </c>
      <c r="F40" s="103">
        <v>0.034626681416332086</v>
      </c>
      <c r="G40" s="103">
        <v>0.03490213934146263</v>
      </c>
      <c r="H40" s="103">
        <v>0.03455466314606621</v>
      </c>
      <c r="I40" s="103">
        <v>0.034796756845776315</v>
      </c>
      <c r="J40" s="103">
        <v>0.03541422859500749</v>
      </c>
      <c r="K40" s="103">
        <v>0.03471355036699083</v>
      </c>
      <c r="L40" s="103">
        <v>0.03430854268282318</v>
      </c>
      <c r="M40" s="103">
        <v>0.033048522154016345</v>
      </c>
      <c r="N40" s="113">
        <v>0.033612395124754134</v>
      </c>
      <c r="O40" s="114">
        <v>0.03442179967894857</v>
      </c>
      <c r="P40" s="28">
        <f t="shared" si="1"/>
        <v>0.00907710561127062</v>
      </c>
    </row>
    <row r="41" spans="2:17" ht="15">
      <c r="B41" s="31" t="s">
        <v>33</v>
      </c>
      <c r="C41" s="2"/>
      <c r="D41" s="2"/>
      <c r="E41" s="2"/>
      <c r="F41" s="2"/>
      <c r="G41" s="2"/>
      <c r="H41" s="37"/>
      <c r="I41" s="37"/>
      <c r="J41" s="37"/>
      <c r="K41" s="37"/>
      <c r="L41" s="37"/>
      <c r="M41" s="276"/>
      <c r="N41" s="37"/>
      <c r="O41" s="16"/>
      <c r="P41" s="75"/>
      <c r="Q41" s="9"/>
    </row>
    <row r="42" spans="2:17" ht="15">
      <c r="B42" s="61" t="s">
        <v>34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76"/>
      <c r="N42" s="2"/>
      <c r="O42" s="16"/>
      <c r="P42" s="75"/>
      <c r="Q42" s="9"/>
    </row>
    <row r="43" spans="5:13" ht="15">
      <c r="E43" s="32"/>
      <c r="F43" s="32"/>
      <c r="G43" s="32"/>
      <c r="H43" s="32"/>
      <c r="I43" s="32"/>
      <c r="M43" s="276"/>
    </row>
    <row r="44" spans="6:15" ht="15">
      <c r="F44" s="293" t="s">
        <v>88</v>
      </c>
      <c r="G44" s="294"/>
      <c r="H44" s="294"/>
      <c r="I44" s="294"/>
      <c r="J44" s="294"/>
      <c r="M44" s="65">
        <v>0.03690895348311871</v>
      </c>
      <c r="N44" s="65">
        <v>0.033612395124754134</v>
      </c>
      <c r="O44" s="65">
        <v>212.93810467596722</v>
      </c>
    </row>
    <row r="45" ht="15.75" thickBot="1">
      <c r="Q45" s="10"/>
    </row>
    <row r="46" spans="2:16" ht="15.75" thickBot="1">
      <c r="B46" s="70"/>
      <c r="C46" s="81" t="s">
        <v>1</v>
      </c>
      <c r="D46" s="81" t="s">
        <v>2</v>
      </c>
      <c r="E46" s="81" t="s">
        <v>3</v>
      </c>
      <c r="F46" s="81" t="s">
        <v>4</v>
      </c>
      <c r="G46" s="81" t="s">
        <v>5</v>
      </c>
      <c r="H46" s="81" t="s">
        <v>6</v>
      </c>
      <c r="I46" s="81" t="s">
        <v>7</v>
      </c>
      <c r="J46" s="81" t="s">
        <v>8</v>
      </c>
      <c r="K46" s="81" t="s">
        <v>9</v>
      </c>
      <c r="L46" s="81" t="s">
        <v>10</v>
      </c>
      <c r="M46" s="81" t="s">
        <v>11</v>
      </c>
      <c r="N46" s="81" t="s">
        <v>12</v>
      </c>
      <c r="O46" s="7" t="s">
        <v>56</v>
      </c>
      <c r="P46" s="4" t="s">
        <v>30</v>
      </c>
    </row>
    <row r="47" spans="2:16" ht="15">
      <c r="B47" s="33">
        <v>2012</v>
      </c>
      <c r="C47" s="82">
        <v>116.74657664707793</v>
      </c>
      <c r="D47" s="83">
        <v>108.47822352946918</v>
      </c>
      <c r="E47" s="83">
        <v>108.4660864004874</v>
      </c>
      <c r="F47" s="83">
        <v>109.22657249451082</v>
      </c>
      <c r="G47" s="83">
        <v>108.12756279499484</v>
      </c>
      <c r="H47" s="83">
        <v>107.1749329681416</v>
      </c>
      <c r="I47" s="83">
        <v>106.33398667385983</v>
      </c>
      <c r="J47" s="83">
        <v>99.27629103476819</v>
      </c>
      <c r="K47" s="83">
        <v>99.96783702010259</v>
      </c>
      <c r="L47" s="83">
        <v>99.50487599906904</v>
      </c>
      <c r="M47" s="83">
        <v>100.56988140611416</v>
      </c>
      <c r="N47" s="84">
        <v>100.93976488730355</v>
      </c>
      <c r="O47" s="78">
        <v>109.7294060511364</v>
      </c>
      <c r="P47" s="6"/>
    </row>
    <row r="48" spans="2:16" ht="15">
      <c r="B48" s="33">
        <v>2013</v>
      </c>
      <c r="C48" s="85">
        <v>103.7786448536282</v>
      </c>
      <c r="D48" s="86">
        <v>106.26457175897046</v>
      </c>
      <c r="E48" s="86">
        <v>108.15266597619853</v>
      </c>
      <c r="F48" s="86">
        <v>113.12487546488843</v>
      </c>
      <c r="G48" s="86">
        <v>115.16380553942189</v>
      </c>
      <c r="H48" s="86">
        <v>114.736830647832</v>
      </c>
      <c r="I48" s="86">
        <v>114.64157422071537</v>
      </c>
      <c r="J48" s="86">
        <v>118.9354798067572</v>
      </c>
      <c r="K48" s="86">
        <v>123.9314776414446</v>
      </c>
      <c r="L48" s="86">
        <v>131.90204579625708</v>
      </c>
      <c r="M48" s="86">
        <v>134.3364425298601</v>
      </c>
      <c r="N48" s="87">
        <v>133.84875723294942</v>
      </c>
      <c r="O48" s="78">
        <v>127.2605595539307</v>
      </c>
      <c r="P48" s="6">
        <f aca="true" t="shared" si="2" ref="P48:P54">O48/O47-1</f>
        <v>0.15976714113101464</v>
      </c>
    </row>
    <row r="49" spans="2:16" ht="15">
      <c r="B49" s="33">
        <v>2014</v>
      </c>
      <c r="C49" s="85">
        <v>137.99039366468065</v>
      </c>
      <c r="D49" s="86">
        <v>137.87545205475408</v>
      </c>
      <c r="E49" s="86">
        <v>139.7319443697928</v>
      </c>
      <c r="F49" s="86">
        <v>139.8538870325909</v>
      </c>
      <c r="G49" s="86">
        <v>141.06184988906418</v>
      </c>
      <c r="H49" s="86">
        <v>140.8342361397438</v>
      </c>
      <c r="I49" s="86">
        <v>139.56423876449546</v>
      </c>
      <c r="J49" s="86">
        <v>134.3572483928879</v>
      </c>
      <c r="K49" s="86">
        <v>133.68125403770844</v>
      </c>
      <c r="L49" s="86">
        <v>128.78022669864367</v>
      </c>
      <c r="M49" s="86">
        <v>127.5787434227367</v>
      </c>
      <c r="N49" s="87">
        <v>127.10119223380107</v>
      </c>
      <c r="O49" s="78">
        <v>139.60855355034525</v>
      </c>
      <c r="P49" s="6">
        <f t="shared" si="2"/>
        <v>0.09702922916335033</v>
      </c>
    </row>
    <row r="50" spans="2:16" ht="15">
      <c r="B50" s="33" t="s">
        <v>31</v>
      </c>
      <c r="C50" s="88">
        <v>126.2349983331781</v>
      </c>
      <c r="D50" s="89">
        <v>126.25179807879415</v>
      </c>
      <c r="E50" s="89">
        <v>122.56525274407971</v>
      </c>
      <c r="F50" s="89">
        <v>118.95769752819912</v>
      </c>
      <c r="G50" s="89">
        <v>114.3628877126489</v>
      </c>
      <c r="H50" s="89">
        <v>106.42153671120404</v>
      </c>
      <c r="I50" s="89">
        <v>104.17479390267454</v>
      </c>
      <c r="J50" s="89">
        <v>103.64284158074614</v>
      </c>
      <c r="K50" s="89">
        <v>104.75918706377384</v>
      </c>
      <c r="L50" s="89">
        <v>104.98864743192044</v>
      </c>
      <c r="M50" s="89">
        <v>104.73670272722897</v>
      </c>
      <c r="N50" s="90">
        <v>106.15859132740772</v>
      </c>
      <c r="O50" s="78">
        <v>113.9657164681369</v>
      </c>
      <c r="P50" s="6">
        <f t="shared" si="2"/>
        <v>-0.1836766905042183</v>
      </c>
    </row>
    <row r="51" spans="2:16" ht="15">
      <c r="B51" s="33" t="s">
        <v>32</v>
      </c>
      <c r="C51" s="88">
        <v>103.08213925183217</v>
      </c>
      <c r="D51" s="89">
        <v>103.54875440107418</v>
      </c>
      <c r="E51" s="89">
        <v>103.77644725181361</v>
      </c>
      <c r="F51" s="89">
        <v>103.72498413471047</v>
      </c>
      <c r="G51" s="92">
        <v>114.19315947745706</v>
      </c>
      <c r="H51" s="92">
        <v>114.7101464898061</v>
      </c>
      <c r="I51" s="92">
        <v>117.81539115002305</v>
      </c>
      <c r="J51" s="92">
        <v>121.26394448744502</v>
      </c>
      <c r="K51" s="92">
        <v>119.2804618379907</v>
      </c>
      <c r="L51" s="89">
        <v>124.32318632430908</v>
      </c>
      <c r="M51" s="89">
        <v>126.44987462807406</v>
      </c>
      <c r="N51" s="90">
        <v>126.98456061728655</v>
      </c>
      <c r="O51" s="78">
        <v>119.8573650839767</v>
      </c>
      <c r="P51" s="6">
        <f t="shared" si="2"/>
        <v>0.051696675091644995</v>
      </c>
    </row>
    <row r="52" spans="2:16" ht="15">
      <c r="B52" s="33" t="s">
        <v>23</v>
      </c>
      <c r="C52" s="88">
        <v>125.51491272697871</v>
      </c>
      <c r="D52" s="89">
        <v>130.04479604923273</v>
      </c>
      <c r="E52" s="89">
        <v>131.78788091828184</v>
      </c>
      <c r="F52" s="89">
        <v>132.6466043778728</v>
      </c>
      <c r="G52" s="89">
        <v>134.1768505978149</v>
      </c>
      <c r="H52" s="89">
        <v>134.4773501677286</v>
      </c>
      <c r="I52" s="89">
        <v>133.96218002595697</v>
      </c>
      <c r="J52" s="92">
        <v>136.17047580855424</v>
      </c>
      <c r="K52" s="92">
        <v>134.62693788195077</v>
      </c>
      <c r="L52" s="92">
        <v>135.52099941310567</v>
      </c>
      <c r="M52" s="92">
        <v>136.49021054262116</v>
      </c>
      <c r="N52" s="93">
        <v>134.7010157765934</v>
      </c>
      <c r="O52" s="78">
        <v>137.63314963389692</v>
      </c>
      <c r="P52" s="6">
        <f t="shared" si="2"/>
        <v>0.14830782019499433</v>
      </c>
    </row>
    <row r="53" spans="2:16" s="39" customFormat="1" ht="15">
      <c r="B53" s="95" t="s">
        <v>28</v>
      </c>
      <c r="C53" s="96">
        <v>134.17813226668414</v>
      </c>
      <c r="D53" s="92">
        <v>134.657581710611</v>
      </c>
      <c r="E53" s="92">
        <v>134.83848447071634</v>
      </c>
      <c r="F53" s="92">
        <v>134.55991043371543</v>
      </c>
      <c r="G53" s="92">
        <v>137.5521942846922</v>
      </c>
      <c r="H53" s="92">
        <v>138.33439330685238</v>
      </c>
      <c r="I53" s="92">
        <v>137.79754727738555</v>
      </c>
      <c r="J53" s="89">
        <v>134.0433142043393</v>
      </c>
      <c r="K53" s="89">
        <v>133.90107575073662</v>
      </c>
      <c r="L53" s="89">
        <v>134.0685420968325</v>
      </c>
      <c r="M53" s="89">
        <v>130.98724895935115</v>
      </c>
      <c r="N53" s="38">
        <v>130.73793845807185</v>
      </c>
      <c r="O53" s="94">
        <v>138.89217153850493</v>
      </c>
      <c r="P53" s="97">
        <f t="shared" si="2"/>
        <v>0.009147664701105729</v>
      </c>
    </row>
    <row r="54" spans="2:16" ht="15">
      <c r="B54" s="95" t="s">
        <v>52</v>
      </c>
      <c r="C54" s="117">
        <v>129.58899345402412</v>
      </c>
      <c r="D54" s="92">
        <v>130.30810458523055</v>
      </c>
      <c r="E54" s="92">
        <v>132.88740742750147</v>
      </c>
      <c r="F54" s="92">
        <v>139.2684957001834</v>
      </c>
      <c r="G54" s="92">
        <v>138.60987542033942</v>
      </c>
      <c r="H54" s="92">
        <v>145.80767163047014</v>
      </c>
      <c r="I54" s="92">
        <v>144.204481002328</v>
      </c>
      <c r="J54" s="92">
        <v>149.29933838122167</v>
      </c>
      <c r="K54" s="92">
        <v>151.11625221016672</v>
      </c>
      <c r="L54" s="92">
        <v>153.02105403870857</v>
      </c>
      <c r="M54" s="92">
        <v>156.30197235769754</v>
      </c>
      <c r="N54" s="93">
        <v>161.84692646805448</v>
      </c>
      <c r="O54" s="94">
        <v>148.67766192430204</v>
      </c>
      <c r="P54" s="97">
        <f t="shared" si="2"/>
        <v>0.0704538655951843</v>
      </c>
    </row>
    <row r="55" spans="2:16" ht="15">
      <c r="B55" s="95" t="s">
        <v>58</v>
      </c>
      <c r="C55" s="96">
        <v>165.66273618238966</v>
      </c>
      <c r="D55" s="238">
        <v>166.2625928140479</v>
      </c>
      <c r="E55" s="238">
        <v>161.69972627417846</v>
      </c>
      <c r="F55" s="238">
        <v>162.62956570415912</v>
      </c>
      <c r="G55" s="238">
        <v>162.9938900092911</v>
      </c>
      <c r="H55" s="239">
        <v>162.09801131065183</v>
      </c>
      <c r="I55" s="239">
        <v>163.52635215402395</v>
      </c>
      <c r="J55" s="238">
        <v>165.8126127156053</v>
      </c>
      <c r="K55" s="238">
        <v>171.58189947124205</v>
      </c>
      <c r="L55" s="238">
        <v>173.43972730166524</v>
      </c>
      <c r="M55" s="238">
        <v>178.63599345851333</v>
      </c>
      <c r="N55" s="93">
        <v>178.5309255452084</v>
      </c>
      <c r="O55" s="240">
        <v>172.0181307864529</v>
      </c>
      <c r="P55" s="97">
        <f>O55/O54-1</f>
        <v>0.1569870588497313</v>
      </c>
    </row>
    <row r="56" spans="2:16" ht="15.75" thickBot="1">
      <c r="B56" s="79" t="s">
        <v>93</v>
      </c>
      <c r="C56" s="259">
        <v>183.83377557283694</v>
      </c>
      <c r="D56" s="260">
        <v>184.66699084537754</v>
      </c>
      <c r="E56" s="260">
        <v>184.39559919622218</v>
      </c>
      <c r="F56" s="260">
        <v>196.07638756404626</v>
      </c>
      <c r="G56" s="260">
        <v>202.1264937386243</v>
      </c>
      <c r="H56" s="260">
        <v>202.21670262025006</v>
      </c>
      <c r="I56" s="112">
        <v>201.95657266273136</v>
      </c>
      <c r="J56" s="252">
        <v>202.16661127867798</v>
      </c>
      <c r="K56" s="252">
        <v>201.9205937904788</v>
      </c>
      <c r="L56" s="252">
        <v>201.15075622483926</v>
      </c>
      <c r="M56" s="252">
        <v>211.05378773172686</v>
      </c>
      <c r="N56" s="295">
        <v>212.93810467596722</v>
      </c>
      <c r="O56" s="80">
        <v>199.63508832020594</v>
      </c>
      <c r="P56" s="28">
        <f>O56/O55-1</f>
        <v>0.16054678310646997</v>
      </c>
    </row>
    <row r="57" ht="15">
      <c r="C57" s="102"/>
    </row>
    <row r="58" ht="15">
      <c r="B58" s="61"/>
    </row>
    <row r="59" spans="2:8" ht="15">
      <c r="B59" s="61" t="s">
        <v>18</v>
      </c>
      <c r="C59" s="1"/>
      <c r="D59" s="1"/>
      <c r="E59" s="1"/>
      <c r="F59" s="1"/>
      <c r="G59" s="1"/>
      <c r="H59" s="1"/>
    </row>
    <row r="60" spans="2:3" ht="16.5" customHeight="1">
      <c r="B60" s="60"/>
      <c r="C60" s="111" t="s">
        <v>55</v>
      </c>
    </row>
    <row r="61" spans="2:17" ht="15">
      <c r="B61" s="49"/>
      <c r="C61" s="110" t="s">
        <v>53</v>
      </c>
      <c r="Q61" s="10"/>
    </row>
    <row r="62" spans="2:3" ht="15">
      <c r="B62" s="67"/>
      <c r="C62" s="110" t="s">
        <v>54</v>
      </c>
    </row>
    <row r="65" spans="3:12" ht="15">
      <c r="C65" s="32"/>
      <c r="D65" s="32"/>
      <c r="E65" s="32"/>
      <c r="F65" s="32"/>
      <c r="G65" s="32"/>
      <c r="H65" s="32"/>
      <c r="I65" s="32"/>
      <c r="J65" s="32"/>
      <c r="K65" s="32"/>
      <c r="L65" s="32"/>
    </row>
  </sheetData>
  <sheetProtection/>
  <mergeCells count="4">
    <mergeCell ref="F10:J10"/>
    <mergeCell ref="G12:I12"/>
    <mergeCell ref="G28:I28"/>
    <mergeCell ref="F44:J44"/>
  </mergeCells>
  <hyperlinks>
    <hyperlink ref="L10" location="'Listado Datos'!A1" display="Acceder al listado de datos"/>
  </hyperlinks>
  <printOptions/>
  <pageMargins left="0" right="0" top="0" bottom="0" header="0" footer="0"/>
  <pageSetup horizontalDpi="600" verticalDpi="600" orientation="landscape"/>
  <ignoredErrors>
    <ignoredError sqref="B33:B40 B18:B24 B49:B56" numberStoredAsText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W258"/>
  <sheetViews>
    <sheetView showGridLines="0" zoomScalePageLayoutView="0" workbookViewId="0" topLeftCell="A1">
      <pane ySplit="7" topLeftCell="A29" activePane="bottomLeft" state="frozen"/>
      <selection pane="topLeft" activeCell="A1" sqref="A1"/>
      <selection pane="bottomLeft" activeCell="C7" sqref="C7:K7"/>
    </sheetView>
  </sheetViews>
  <sheetFormatPr defaultColWidth="11.421875" defaultRowHeight="15"/>
  <cols>
    <col min="1" max="1" width="6.8515625" style="15" customWidth="1"/>
    <col min="2" max="2" width="10.8515625" style="15" customWidth="1"/>
    <col min="3" max="3" width="32.8515625" style="20" customWidth="1"/>
    <col min="4" max="4" width="22.28125" style="50" customWidth="1"/>
    <col min="5" max="5" width="22.8515625" style="50" customWidth="1"/>
    <col min="6" max="6" width="20.00390625" style="20" customWidth="1"/>
    <col min="7" max="7" width="20.8515625" style="50" customWidth="1"/>
    <col min="8" max="10" width="16.7109375" style="20" customWidth="1"/>
    <col min="11" max="11" width="18.7109375" style="20" customWidth="1"/>
    <col min="12" max="12" width="65.140625" style="43" customWidth="1"/>
    <col min="13" max="13" width="12.421875" style="15" bestFit="1" customWidth="1"/>
    <col min="14" max="14" width="11.421875" style="15" bestFit="1" customWidth="1"/>
    <col min="15" max="15" width="14.140625" style="15" bestFit="1" customWidth="1"/>
    <col min="16" max="16" width="12.421875" style="15" bestFit="1" customWidth="1"/>
    <col min="17" max="16384" width="11.421875" style="15" customWidth="1"/>
  </cols>
  <sheetData>
    <row r="1" ht="42.75" customHeight="1"/>
    <row r="2" ht="34.5" customHeight="1"/>
    <row r="3" ht="37.5" customHeight="1">
      <c r="L3" s="44" t="s">
        <v>37</v>
      </c>
    </row>
    <row r="4" ht="23.25" customHeight="1" thickBot="1">
      <c r="L4" s="44" t="s">
        <v>38</v>
      </c>
    </row>
    <row r="5" spans="2:11" ht="16.5" thickBot="1">
      <c r="B5" s="20"/>
      <c r="C5" s="118" t="s">
        <v>39</v>
      </c>
      <c r="D5" s="119"/>
      <c r="E5" s="119"/>
      <c r="F5" s="119"/>
      <c r="G5" s="119"/>
      <c r="H5" s="119"/>
      <c r="I5" s="119"/>
      <c r="J5" s="119"/>
      <c r="K5" s="120"/>
    </row>
    <row r="6" ht="12" customHeight="1" thickBot="1"/>
    <row r="7" spans="2:12" s="22" customFormat="1" ht="49.5" customHeight="1">
      <c r="B7" s="124" t="s">
        <v>16</v>
      </c>
      <c r="C7" s="176" t="s">
        <v>81</v>
      </c>
      <c r="D7" s="126" t="s">
        <v>85</v>
      </c>
      <c r="E7" s="123" t="s">
        <v>84</v>
      </c>
      <c r="F7" s="236" t="s">
        <v>64</v>
      </c>
      <c r="G7" s="136" t="s">
        <v>63</v>
      </c>
      <c r="H7" s="127" t="s">
        <v>14</v>
      </c>
      <c r="I7" s="123" t="s">
        <v>36</v>
      </c>
      <c r="J7" s="136" t="s">
        <v>35</v>
      </c>
      <c r="K7" s="177" t="s">
        <v>87</v>
      </c>
      <c r="L7" s="27" t="s">
        <v>19</v>
      </c>
    </row>
    <row r="8" spans="2:12" ht="15">
      <c r="B8" s="35">
        <v>37257</v>
      </c>
      <c r="C8" s="199">
        <v>1.8402190010621498</v>
      </c>
      <c r="D8" s="194">
        <v>0</v>
      </c>
      <c r="E8" s="225">
        <f>C8-D8</f>
        <v>1.8402190010621498</v>
      </c>
      <c r="F8" s="199">
        <f>C8/H8</f>
        <v>0.12837244513862223</v>
      </c>
      <c r="G8" s="200">
        <f>E8/H8</f>
        <v>0.12837244513862223</v>
      </c>
      <c r="H8" s="128">
        <v>14.335</v>
      </c>
      <c r="I8" s="137">
        <v>0.0352</v>
      </c>
      <c r="J8" s="138">
        <v>0.03</v>
      </c>
      <c r="K8" s="128">
        <f aca="true" t="shared" si="0" ref="K8:K71">C8/1.03/(I8+J8)</f>
        <v>27.40215321136085</v>
      </c>
      <c r="L8" s="91" t="s">
        <v>40</v>
      </c>
    </row>
    <row r="9" spans="2:12" ht="15">
      <c r="B9" s="40">
        <v>37288</v>
      </c>
      <c r="C9" s="201">
        <v>1.9389296086783374</v>
      </c>
      <c r="D9" s="195">
        <v>0</v>
      </c>
      <c r="E9" s="226">
        <f aca="true" t="shared" si="1" ref="E9:E72">C9-D9</f>
        <v>1.9389296086783374</v>
      </c>
      <c r="F9" s="201">
        <f aca="true" t="shared" si="2" ref="F9:F72">C9/H9</f>
        <v>0.13241341314473382</v>
      </c>
      <c r="G9" s="202">
        <f aca="true" t="shared" si="3" ref="G9:G72">E9/H9</f>
        <v>0.13241341314473382</v>
      </c>
      <c r="H9" s="129">
        <v>14.643</v>
      </c>
      <c r="I9" s="139">
        <v>0.036</v>
      </c>
      <c r="J9" s="140">
        <v>0.0311</v>
      </c>
      <c r="K9" s="129">
        <f t="shared" si="0"/>
        <v>28.05448481006956</v>
      </c>
      <c r="L9" s="45" t="s">
        <v>40</v>
      </c>
    </row>
    <row r="10" spans="2:12" ht="15">
      <c r="B10" s="40">
        <v>37316</v>
      </c>
      <c r="C10" s="201">
        <v>2.046320487991051</v>
      </c>
      <c r="D10" s="195">
        <v>0</v>
      </c>
      <c r="E10" s="226">
        <f t="shared" si="1"/>
        <v>2.046320487991051</v>
      </c>
      <c r="F10" s="201">
        <f t="shared" si="2"/>
        <v>0.13444944073528586</v>
      </c>
      <c r="G10" s="202">
        <f t="shared" si="3"/>
        <v>0.13444944073528586</v>
      </c>
      <c r="H10" s="129">
        <v>15.22</v>
      </c>
      <c r="I10" s="139">
        <v>0.0367</v>
      </c>
      <c r="J10" s="140">
        <v>0.0308</v>
      </c>
      <c r="K10" s="129">
        <f t="shared" si="0"/>
        <v>29.432872894513494</v>
      </c>
      <c r="L10" s="45" t="s">
        <v>40</v>
      </c>
    </row>
    <row r="11" spans="2:12" ht="15">
      <c r="B11" s="40">
        <v>37347</v>
      </c>
      <c r="C11" s="201">
        <v>2.1911293104526557</v>
      </c>
      <c r="D11" s="195">
        <v>0</v>
      </c>
      <c r="E11" s="226">
        <f t="shared" si="1"/>
        <v>2.1911293104526557</v>
      </c>
      <c r="F11" s="201">
        <f t="shared" si="2"/>
        <v>0.13386664897682404</v>
      </c>
      <c r="G11" s="202">
        <f t="shared" si="3"/>
        <v>0.13386664897682404</v>
      </c>
      <c r="H11" s="129">
        <v>16.368</v>
      </c>
      <c r="I11" s="139">
        <v>0.0362</v>
      </c>
      <c r="J11" s="140">
        <v>0.0316</v>
      </c>
      <c r="K11" s="129">
        <f t="shared" si="0"/>
        <v>31.37625383699424</v>
      </c>
      <c r="L11" s="45" t="s">
        <v>40</v>
      </c>
    </row>
    <row r="12" spans="2:12" ht="15">
      <c r="B12" s="40">
        <v>37377</v>
      </c>
      <c r="C12" s="201">
        <v>2.18983592481559</v>
      </c>
      <c r="D12" s="195">
        <v>0</v>
      </c>
      <c r="E12" s="226">
        <f t="shared" si="1"/>
        <v>2.18983592481559</v>
      </c>
      <c r="F12" s="201">
        <f t="shared" si="2"/>
        <v>0.12846626333542122</v>
      </c>
      <c r="G12" s="202">
        <f t="shared" si="3"/>
        <v>0.12846626333542122</v>
      </c>
      <c r="H12" s="129">
        <v>17.046</v>
      </c>
      <c r="I12" s="139">
        <v>0.037599999999999995</v>
      </c>
      <c r="J12" s="140">
        <v>0.031400000000000004</v>
      </c>
      <c r="K12" s="129">
        <f t="shared" si="0"/>
        <v>30.812381100542982</v>
      </c>
      <c r="L12" s="45" t="s">
        <v>40</v>
      </c>
    </row>
    <row r="13" spans="2:12" ht="15">
      <c r="B13" s="40">
        <v>37408</v>
      </c>
      <c r="C13" s="201">
        <v>2.197930884104453</v>
      </c>
      <c r="D13" s="195">
        <v>0</v>
      </c>
      <c r="E13" s="226">
        <f t="shared" si="1"/>
        <v>2.197930884104453</v>
      </c>
      <c r="F13" s="201">
        <f t="shared" si="2"/>
        <v>0.12339607478691068</v>
      </c>
      <c r="G13" s="202">
        <f t="shared" si="3"/>
        <v>0.12339607478691068</v>
      </c>
      <c r="H13" s="129">
        <v>17.812</v>
      </c>
      <c r="I13" s="139">
        <v>0.0366</v>
      </c>
      <c r="J13" s="140">
        <v>0.0313</v>
      </c>
      <c r="K13" s="129">
        <f t="shared" si="0"/>
        <v>31.427297197541403</v>
      </c>
      <c r="L13" s="45" t="s">
        <v>40</v>
      </c>
    </row>
    <row r="14" spans="2:12" ht="15">
      <c r="B14" s="40">
        <v>37438</v>
      </c>
      <c r="C14" s="201">
        <v>2.211188511009912</v>
      </c>
      <c r="D14" s="195">
        <v>0</v>
      </c>
      <c r="E14" s="226">
        <f t="shared" si="1"/>
        <v>2.211188511009912</v>
      </c>
      <c r="F14" s="201">
        <f t="shared" si="2"/>
        <v>0.09769322749005532</v>
      </c>
      <c r="G14" s="202">
        <f t="shared" si="3"/>
        <v>0.09769322749005532</v>
      </c>
      <c r="H14" s="129">
        <v>22.634</v>
      </c>
      <c r="I14" s="139">
        <v>0.0353</v>
      </c>
      <c r="J14" s="140">
        <v>0.0305</v>
      </c>
      <c r="K14" s="129">
        <f t="shared" si="0"/>
        <v>32.625911278807685</v>
      </c>
      <c r="L14" s="45" t="s">
        <v>40</v>
      </c>
    </row>
    <row r="15" spans="2:12" ht="15">
      <c r="B15" s="40">
        <v>37469</v>
      </c>
      <c r="C15" s="201">
        <v>2.4464783875238254</v>
      </c>
      <c r="D15" s="195">
        <v>0</v>
      </c>
      <c r="E15" s="226">
        <f t="shared" si="1"/>
        <v>2.4464783875238254</v>
      </c>
      <c r="F15" s="201">
        <f t="shared" si="2"/>
        <v>0.09165586645900739</v>
      </c>
      <c r="G15" s="202">
        <f t="shared" si="3"/>
        <v>0.09165586645900739</v>
      </c>
      <c r="H15" s="129">
        <v>26.692</v>
      </c>
      <c r="I15" s="139">
        <v>0.0336</v>
      </c>
      <c r="J15" s="140">
        <v>0.0302</v>
      </c>
      <c r="K15" s="129">
        <f t="shared" si="0"/>
        <v>37.229180806583464</v>
      </c>
      <c r="L15" s="45" t="s">
        <v>40</v>
      </c>
    </row>
    <row r="16" spans="2:12" ht="15">
      <c r="B16" s="40">
        <v>37500</v>
      </c>
      <c r="C16" s="201">
        <v>2.414501861805802</v>
      </c>
      <c r="D16" s="195">
        <v>0</v>
      </c>
      <c r="E16" s="226">
        <f t="shared" si="1"/>
        <v>2.414501861805802</v>
      </c>
      <c r="F16" s="201">
        <f t="shared" si="2"/>
        <v>0.08337944132211486</v>
      </c>
      <c r="G16" s="202">
        <f t="shared" si="3"/>
        <v>0.08337944132211486</v>
      </c>
      <c r="H16" s="129">
        <v>28.958</v>
      </c>
      <c r="I16" s="139">
        <v>0.0335</v>
      </c>
      <c r="J16" s="140">
        <v>0.0311</v>
      </c>
      <c r="K16" s="129">
        <f t="shared" si="0"/>
        <v>36.287562923529435</v>
      </c>
      <c r="L16" s="45" t="s">
        <v>40</v>
      </c>
    </row>
    <row r="17" spans="2:12" ht="15">
      <c r="B17" s="40">
        <v>37530</v>
      </c>
      <c r="C17" s="201">
        <v>2.7788869108089522</v>
      </c>
      <c r="D17" s="195">
        <v>0</v>
      </c>
      <c r="E17" s="226">
        <f t="shared" si="1"/>
        <v>2.7788869108089522</v>
      </c>
      <c r="F17" s="201">
        <f t="shared" si="2"/>
        <v>0.1028874416234941</v>
      </c>
      <c r="G17" s="202">
        <f t="shared" si="3"/>
        <v>0.1028874416234941</v>
      </c>
      <c r="H17" s="129">
        <v>27.009</v>
      </c>
      <c r="I17" s="139">
        <v>0.0336</v>
      </c>
      <c r="J17" s="140">
        <v>0.0313</v>
      </c>
      <c r="K17" s="129">
        <f t="shared" si="0"/>
        <v>41.57085450070986</v>
      </c>
      <c r="L17" s="45" t="s">
        <v>40</v>
      </c>
    </row>
    <row r="18" spans="2:12" ht="15">
      <c r="B18" s="40">
        <v>37561</v>
      </c>
      <c r="C18" s="201">
        <v>2.5104422311997374</v>
      </c>
      <c r="D18" s="195">
        <v>0</v>
      </c>
      <c r="E18" s="226">
        <f t="shared" si="1"/>
        <v>2.5104422311997374</v>
      </c>
      <c r="F18" s="201">
        <f t="shared" si="2"/>
        <v>0.09234319985285579</v>
      </c>
      <c r="G18" s="202">
        <f t="shared" si="3"/>
        <v>0.09234319985285579</v>
      </c>
      <c r="H18" s="129">
        <v>27.186</v>
      </c>
      <c r="I18" s="139">
        <v>0.0338</v>
      </c>
      <c r="J18" s="140">
        <v>0.030699999999999998</v>
      </c>
      <c r="K18" s="129">
        <f t="shared" si="0"/>
        <v>37.78794658236979</v>
      </c>
      <c r="L18" s="45" t="s">
        <v>40</v>
      </c>
    </row>
    <row r="19" spans="2:12" ht="15">
      <c r="B19" s="40">
        <v>37591</v>
      </c>
      <c r="C19" s="201">
        <v>2.719208083647799</v>
      </c>
      <c r="D19" s="195">
        <v>0</v>
      </c>
      <c r="E19" s="226">
        <f t="shared" si="1"/>
        <v>2.719208083647799</v>
      </c>
      <c r="F19" s="201">
        <f t="shared" si="2"/>
        <v>0.0997874526109284</v>
      </c>
      <c r="G19" s="202">
        <f t="shared" si="3"/>
        <v>0.0997874526109284</v>
      </c>
      <c r="H19" s="129">
        <v>27.25</v>
      </c>
      <c r="I19" s="139">
        <v>0.034300000000000004</v>
      </c>
      <c r="J19" s="140">
        <v>0.0303</v>
      </c>
      <c r="K19" s="129">
        <f t="shared" si="0"/>
        <v>40.8669945542066</v>
      </c>
      <c r="L19" s="45" t="s">
        <v>40</v>
      </c>
    </row>
    <row r="20" spans="2:12" ht="15">
      <c r="B20" s="35">
        <v>37622</v>
      </c>
      <c r="C20" s="199">
        <v>2.7195373159418934</v>
      </c>
      <c r="D20" s="194">
        <v>0</v>
      </c>
      <c r="E20" s="225">
        <f t="shared" si="1"/>
        <v>2.7195373159418934</v>
      </c>
      <c r="F20" s="199">
        <f t="shared" si="2"/>
        <v>0.09776529877204204</v>
      </c>
      <c r="G20" s="200">
        <f t="shared" si="3"/>
        <v>0.09776529877204204</v>
      </c>
      <c r="H20" s="130">
        <v>27.817</v>
      </c>
      <c r="I20" s="137">
        <v>0.0367</v>
      </c>
      <c r="J20" s="138">
        <v>0.0303</v>
      </c>
      <c r="K20" s="130">
        <f t="shared" si="0"/>
        <v>39.40787300307047</v>
      </c>
      <c r="L20" s="46" t="s">
        <v>41</v>
      </c>
    </row>
    <row r="21" spans="2:12" ht="15">
      <c r="B21" s="40">
        <v>37653</v>
      </c>
      <c r="C21" s="201">
        <v>2.929368647974573</v>
      </c>
      <c r="D21" s="195">
        <v>0</v>
      </c>
      <c r="E21" s="226">
        <f t="shared" si="1"/>
        <v>2.929368647974573</v>
      </c>
      <c r="F21" s="201">
        <f t="shared" si="2"/>
        <v>0.10278486484121309</v>
      </c>
      <c r="G21" s="202">
        <f t="shared" si="3"/>
        <v>0.10278486484121309</v>
      </c>
      <c r="H21" s="131">
        <v>28.5</v>
      </c>
      <c r="I21" s="139">
        <v>0.0378</v>
      </c>
      <c r="J21" s="140">
        <v>0.030899999999999997</v>
      </c>
      <c r="K21" s="131">
        <f t="shared" si="0"/>
        <v>41.39806740965465</v>
      </c>
      <c r="L21" s="47" t="s">
        <v>41</v>
      </c>
    </row>
    <row r="22" spans="2:12" ht="15">
      <c r="B22" s="40">
        <v>37681</v>
      </c>
      <c r="C22" s="201">
        <v>3.4185233892524973</v>
      </c>
      <c r="D22" s="195">
        <v>0</v>
      </c>
      <c r="E22" s="226">
        <f t="shared" si="1"/>
        <v>3.4185233892524973</v>
      </c>
      <c r="F22" s="201">
        <f t="shared" si="2"/>
        <v>0.11897137151988924</v>
      </c>
      <c r="G22" s="202">
        <f t="shared" si="3"/>
        <v>0.11897137151988924</v>
      </c>
      <c r="H22" s="131">
        <v>28.734</v>
      </c>
      <c r="I22" s="139">
        <v>0.0382</v>
      </c>
      <c r="J22" s="140">
        <v>0.032</v>
      </c>
      <c r="K22" s="131">
        <f t="shared" si="0"/>
        <v>47.27855764739437</v>
      </c>
      <c r="L22" s="47" t="s">
        <v>41</v>
      </c>
    </row>
    <row r="23" spans="2:12" ht="15">
      <c r="B23" s="40">
        <v>37712</v>
      </c>
      <c r="C23" s="201">
        <v>3.4641721620218715</v>
      </c>
      <c r="D23" s="195">
        <v>0</v>
      </c>
      <c r="E23" s="226">
        <f t="shared" si="1"/>
        <v>3.4641721620218715</v>
      </c>
      <c r="F23" s="201">
        <f t="shared" si="2"/>
        <v>0.12044267304157817</v>
      </c>
      <c r="G23" s="202">
        <f t="shared" si="3"/>
        <v>0.12044267304157817</v>
      </c>
      <c r="H23" s="131">
        <v>28.762</v>
      </c>
      <c r="I23" s="139">
        <v>0.0393</v>
      </c>
      <c r="J23" s="140">
        <v>0.032400000000000005</v>
      </c>
      <c r="K23" s="131">
        <f t="shared" si="0"/>
        <v>46.90758638368974</v>
      </c>
      <c r="L23" s="47" t="s">
        <v>41</v>
      </c>
    </row>
    <row r="24" spans="2:12" ht="15">
      <c r="B24" s="40">
        <v>37742</v>
      </c>
      <c r="C24" s="201">
        <v>3.485424966857944</v>
      </c>
      <c r="D24" s="195">
        <v>0</v>
      </c>
      <c r="E24" s="226">
        <f t="shared" si="1"/>
        <v>3.485424966857944</v>
      </c>
      <c r="F24" s="201">
        <f t="shared" si="2"/>
        <v>0.11951940768321596</v>
      </c>
      <c r="G24" s="202">
        <f t="shared" si="3"/>
        <v>0.11951940768321596</v>
      </c>
      <c r="H24" s="131">
        <v>29.162</v>
      </c>
      <c r="I24" s="139">
        <v>0.039599999999999996</v>
      </c>
      <c r="J24" s="140">
        <v>0.0318</v>
      </c>
      <c r="K24" s="131">
        <f t="shared" si="0"/>
        <v>47.39366575369101</v>
      </c>
      <c r="L24" s="47" t="s">
        <v>41</v>
      </c>
    </row>
    <row r="25" spans="2:12" ht="15">
      <c r="B25" s="40">
        <v>37773</v>
      </c>
      <c r="C25" s="201">
        <v>3.88843552299012</v>
      </c>
      <c r="D25" s="195">
        <v>0</v>
      </c>
      <c r="E25" s="226">
        <f t="shared" si="1"/>
        <v>3.88843552299012</v>
      </c>
      <c r="F25" s="201">
        <f t="shared" si="2"/>
        <v>0.14556341567739003</v>
      </c>
      <c r="G25" s="202">
        <f t="shared" si="3"/>
        <v>0.14556341567739003</v>
      </c>
      <c r="H25" s="131">
        <v>26.713</v>
      </c>
      <c r="I25" s="139">
        <v>0.0381</v>
      </c>
      <c r="J25" s="140">
        <v>0.0318</v>
      </c>
      <c r="K25" s="131">
        <f t="shared" si="0"/>
        <v>54.00829927622151</v>
      </c>
      <c r="L25" s="47" t="s">
        <v>41</v>
      </c>
    </row>
    <row r="26" spans="2:12" ht="15">
      <c r="B26" s="40">
        <v>37803</v>
      </c>
      <c r="C26" s="201">
        <v>3.8359177424105853</v>
      </c>
      <c r="D26" s="195">
        <v>0</v>
      </c>
      <c r="E26" s="226">
        <f t="shared" si="1"/>
        <v>3.8359177424105853</v>
      </c>
      <c r="F26" s="201">
        <f t="shared" si="2"/>
        <v>0.142466768520356</v>
      </c>
      <c r="G26" s="202">
        <f t="shared" si="3"/>
        <v>0.142466768520356</v>
      </c>
      <c r="H26" s="131">
        <v>26.925</v>
      </c>
      <c r="I26" s="139">
        <v>0.0369</v>
      </c>
      <c r="J26" s="140">
        <v>0.0316</v>
      </c>
      <c r="K26" s="131">
        <f t="shared" si="0"/>
        <v>54.367766174056904</v>
      </c>
      <c r="L26" s="47" t="s">
        <v>41</v>
      </c>
    </row>
    <row r="27" spans="2:12" ht="15">
      <c r="B27" s="40">
        <v>37834</v>
      </c>
      <c r="C27" s="201">
        <v>3.828973992592902</v>
      </c>
      <c r="D27" s="195">
        <v>0</v>
      </c>
      <c r="E27" s="226">
        <f t="shared" si="1"/>
        <v>3.828973992592902</v>
      </c>
      <c r="F27" s="201">
        <f t="shared" si="2"/>
        <v>0.13770810978575443</v>
      </c>
      <c r="G27" s="202">
        <f t="shared" si="3"/>
        <v>0.13770810978575443</v>
      </c>
      <c r="H27" s="131">
        <v>27.805</v>
      </c>
      <c r="I27" s="139">
        <v>0.0359</v>
      </c>
      <c r="J27" s="140">
        <v>0.0315</v>
      </c>
      <c r="K27" s="131">
        <f t="shared" si="0"/>
        <v>55.155051606016855</v>
      </c>
      <c r="L27" s="47" t="s">
        <v>41</v>
      </c>
    </row>
    <row r="28" spans="2:12" ht="15">
      <c r="B28" s="40">
        <v>37865</v>
      </c>
      <c r="C28" s="201">
        <v>3.8155056871358393</v>
      </c>
      <c r="D28" s="195">
        <v>0</v>
      </c>
      <c r="E28" s="226">
        <f t="shared" si="1"/>
        <v>3.8155056871358393</v>
      </c>
      <c r="F28" s="201">
        <f t="shared" si="2"/>
        <v>0.1369577403042406</v>
      </c>
      <c r="G28" s="202">
        <f t="shared" si="3"/>
        <v>0.1369577403042406</v>
      </c>
      <c r="H28" s="131">
        <v>27.859</v>
      </c>
      <c r="I28" s="139">
        <v>0.0351</v>
      </c>
      <c r="J28" s="140">
        <v>0.0322</v>
      </c>
      <c r="K28" s="131">
        <f t="shared" si="0"/>
        <v>55.04271104799318</v>
      </c>
      <c r="L28" s="47" t="s">
        <v>41</v>
      </c>
    </row>
    <row r="29" spans="2:12" ht="15">
      <c r="B29" s="40">
        <v>37895</v>
      </c>
      <c r="C29" s="201">
        <v>3.779024530364609</v>
      </c>
      <c r="D29" s="195">
        <v>0</v>
      </c>
      <c r="E29" s="226">
        <f t="shared" si="1"/>
        <v>3.779024530364609</v>
      </c>
      <c r="F29" s="201">
        <f t="shared" si="2"/>
        <v>0.13373764130532642</v>
      </c>
      <c r="G29" s="202">
        <f t="shared" si="3"/>
        <v>0.13373764130532642</v>
      </c>
      <c r="H29" s="131">
        <v>28.257</v>
      </c>
      <c r="I29" s="139">
        <v>0.0346</v>
      </c>
      <c r="J29" s="140">
        <v>0.0323</v>
      </c>
      <c r="K29" s="131">
        <f t="shared" si="0"/>
        <v>54.842389457741724</v>
      </c>
      <c r="L29" s="47" t="s">
        <v>41</v>
      </c>
    </row>
    <row r="30" spans="2:12" ht="15">
      <c r="B30" s="40">
        <v>37926</v>
      </c>
      <c r="C30" s="201">
        <v>3.7461694378702313</v>
      </c>
      <c r="D30" s="195">
        <v>0</v>
      </c>
      <c r="E30" s="226">
        <f t="shared" si="1"/>
        <v>3.7461694378702313</v>
      </c>
      <c r="F30" s="201">
        <f t="shared" si="2"/>
        <v>0.1296925545393883</v>
      </c>
      <c r="G30" s="202">
        <f t="shared" si="3"/>
        <v>0.1296925545393883</v>
      </c>
      <c r="H30" s="131">
        <v>28.885</v>
      </c>
      <c r="I30" s="139">
        <v>0.0354</v>
      </c>
      <c r="J30" s="140">
        <v>0.0316</v>
      </c>
      <c r="K30" s="131">
        <f t="shared" si="0"/>
        <v>54.28444338313623</v>
      </c>
      <c r="L30" s="47" t="s">
        <v>41</v>
      </c>
    </row>
    <row r="31" spans="2:12" ht="15">
      <c r="B31" s="125">
        <v>37956</v>
      </c>
      <c r="C31" s="203">
        <v>3.7211031377778667</v>
      </c>
      <c r="D31" s="204">
        <v>0</v>
      </c>
      <c r="E31" s="227">
        <f t="shared" si="1"/>
        <v>3.7211031377778667</v>
      </c>
      <c r="F31" s="203">
        <f t="shared" si="2"/>
        <v>0.12726941438463188</v>
      </c>
      <c r="G31" s="205">
        <f t="shared" si="3"/>
        <v>0.12726941438463188</v>
      </c>
      <c r="H31" s="132">
        <v>29.238</v>
      </c>
      <c r="I31" s="141">
        <v>0.0356</v>
      </c>
      <c r="J31" s="142">
        <v>0.030899999999999997</v>
      </c>
      <c r="K31" s="132">
        <f t="shared" si="0"/>
        <v>54.32663899230406</v>
      </c>
      <c r="L31" s="48" t="s">
        <v>41</v>
      </c>
    </row>
    <row r="32" spans="2:12" ht="15">
      <c r="B32" s="40">
        <v>37987</v>
      </c>
      <c r="C32" s="206">
        <v>3.8102893729845606</v>
      </c>
      <c r="D32" s="196">
        <v>0</v>
      </c>
      <c r="E32" s="228">
        <f t="shared" si="1"/>
        <v>3.8102893729845606</v>
      </c>
      <c r="F32" s="206">
        <f t="shared" si="2"/>
        <v>0.12953558976660073</v>
      </c>
      <c r="G32" s="207">
        <f t="shared" si="3"/>
        <v>0.12953558976660073</v>
      </c>
      <c r="H32" s="131">
        <v>29.415</v>
      </c>
      <c r="I32" s="139">
        <v>0.0362</v>
      </c>
      <c r="J32" s="140">
        <v>0.0305</v>
      </c>
      <c r="K32" s="131">
        <f t="shared" si="0"/>
        <v>55.461920102830526</v>
      </c>
      <c r="L32" s="47" t="s">
        <v>42</v>
      </c>
    </row>
    <row r="33" spans="2:12" ht="15">
      <c r="B33" s="40">
        <v>38018</v>
      </c>
      <c r="C33" s="206">
        <v>3.8941636765347183</v>
      </c>
      <c r="D33" s="196">
        <v>0</v>
      </c>
      <c r="E33" s="228">
        <f t="shared" si="1"/>
        <v>3.8941636765347183</v>
      </c>
      <c r="F33" s="206">
        <f t="shared" si="2"/>
        <v>0.13193846100405618</v>
      </c>
      <c r="G33" s="207">
        <f t="shared" si="3"/>
        <v>0.13193846100405618</v>
      </c>
      <c r="H33" s="131">
        <v>29.515</v>
      </c>
      <c r="I33" s="139">
        <v>0.037000000000000005</v>
      </c>
      <c r="J33" s="140">
        <v>0.031</v>
      </c>
      <c r="K33" s="131">
        <f t="shared" si="0"/>
        <v>55.599138728365475</v>
      </c>
      <c r="L33" s="47" t="s">
        <v>42</v>
      </c>
    </row>
    <row r="34" spans="2:12" ht="15">
      <c r="B34" s="40">
        <v>38047</v>
      </c>
      <c r="C34" s="206">
        <v>4.123823214290245</v>
      </c>
      <c r="D34" s="196">
        <v>0</v>
      </c>
      <c r="E34" s="228">
        <f t="shared" si="1"/>
        <v>4.123823214290245</v>
      </c>
      <c r="F34" s="206">
        <f t="shared" si="2"/>
        <v>0.1392901173508831</v>
      </c>
      <c r="G34" s="207">
        <f t="shared" si="3"/>
        <v>0.1392901173508831</v>
      </c>
      <c r="H34" s="131">
        <v>29.606</v>
      </c>
      <c r="I34" s="139">
        <v>0.0382</v>
      </c>
      <c r="J34" s="140">
        <v>0.0318</v>
      </c>
      <c r="K34" s="131">
        <f t="shared" si="0"/>
        <v>57.19588369334596</v>
      </c>
      <c r="L34" s="47" t="s">
        <v>42</v>
      </c>
    </row>
    <row r="35" spans="2:12" ht="15">
      <c r="B35" s="40">
        <v>38078</v>
      </c>
      <c r="C35" s="206">
        <v>4.202036814710492</v>
      </c>
      <c r="D35" s="196">
        <v>0</v>
      </c>
      <c r="E35" s="228">
        <f t="shared" si="1"/>
        <v>4.202036814710492</v>
      </c>
      <c r="F35" s="206">
        <f t="shared" si="2"/>
        <v>0.14172130909647526</v>
      </c>
      <c r="G35" s="207">
        <f t="shared" si="3"/>
        <v>0.14172130909647526</v>
      </c>
      <c r="H35" s="131">
        <v>29.65</v>
      </c>
      <c r="I35" s="139">
        <v>0.038599999999999995</v>
      </c>
      <c r="J35" s="140">
        <v>0.031200000000000002</v>
      </c>
      <c r="K35" s="131">
        <f t="shared" si="0"/>
        <v>58.44767038571358</v>
      </c>
      <c r="L35" s="47" t="s">
        <v>42</v>
      </c>
    </row>
    <row r="36" spans="2:12" ht="15">
      <c r="B36" s="40">
        <v>38108</v>
      </c>
      <c r="C36" s="206">
        <v>4.390534857537853</v>
      </c>
      <c r="D36" s="196">
        <v>0</v>
      </c>
      <c r="E36" s="228">
        <f t="shared" si="1"/>
        <v>4.390534857537853</v>
      </c>
      <c r="F36" s="206">
        <f t="shared" si="2"/>
        <v>0.1475264560175348</v>
      </c>
      <c r="G36" s="207">
        <f t="shared" si="3"/>
        <v>0.1475264560175348</v>
      </c>
      <c r="H36" s="131">
        <v>29.761</v>
      </c>
      <c r="I36" s="139">
        <v>0.038599999999999995</v>
      </c>
      <c r="J36" s="140">
        <v>0.0318</v>
      </c>
      <c r="K36" s="131">
        <f t="shared" si="0"/>
        <v>60.549079566662805</v>
      </c>
      <c r="L36" s="47" t="s">
        <v>42</v>
      </c>
    </row>
    <row r="37" spans="2:12" ht="15">
      <c r="B37" s="40">
        <v>38139</v>
      </c>
      <c r="C37" s="206">
        <v>4.338870473032118</v>
      </c>
      <c r="D37" s="196">
        <v>0</v>
      </c>
      <c r="E37" s="228">
        <f t="shared" si="1"/>
        <v>4.338870473032118</v>
      </c>
      <c r="F37" s="206">
        <f t="shared" si="2"/>
        <v>0.14589342545501408</v>
      </c>
      <c r="G37" s="207">
        <f t="shared" si="3"/>
        <v>0.14589342545501408</v>
      </c>
      <c r="H37" s="131">
        <v>29.74</v>
      </c>
      <c r="I37" s="139">
        <v>0.0374</v>
      </c>
      <c r="J37" s="140">
        <v>0.0319</v>
      </c>
      <c r="K37" s="131">
        <f t="shared" si="0"/>
        <v>60.78637236487088</v>
      </c>
      <c r="L37" s="47" t="s">
        <v>42</v>
      </c>
    </row>
    <row r="38" spans="2:12" ht="15">
      <c r="B38" s="40">
        <v>38169</v>
      </c>
      <c r="C38" s="206">
        <v>4.2909764735201374</v>
      </c>
      <c r="D38" s="196">
        <v>0</v>
      </c>
      <c r="E38" s="228">
        <f t="shared" si="1"/>
        <v>4.2909764735201374</v>
      </c>
      <c r="F38" s="206">
        <f t="shared" si="2"/>
        <v>0.14564443939719426</v>
      </c>
      <c r="G38" s="207">
        <f t="shared" si="3"/>
        <v>0.14564443939719426</v>
      </c>
      <c r="H38" s="131">
        <v>29.462</v>
      </c>
      <c r="I38" s="139">
        <v>0.0365</v>
      </c>
      <c r="J38" s="140">
        <v>0.0319</v>
      </c>
      <c r="K38" s="131">
        <f t="shared" si="0"/>
        <v>60.90638269346701</v>
      </c>
      <c r="L38" s="47" t="s">
        <v>42</v>
      </c>
    </row>
    <row r="39" spans="2:12" ht="15">
      <c r="B39" s="40">
        <v>38200</v>
      </c>
      <c r="C39" s="206">
        <v>4.237647047996861</v>
      </c>
      <c r="D39" s="196">
        <v>0</v>
      </c>
      <c r="E39" s="228">
        <f t="shared" si="1"/>
        <v>4.237647047996861</v>
      </c>
      <c r="F39" s="206">
        <f t="shared" si="2"/>
        <v>0.14676342204048143</v>
      </c>
      <c r="G39" s="207">
        <f t="shared" si="3"/>
        <v>0.14676342204048143</v>
      </c>
      <c r="H39" s="131">
        <v>28.874</v>
      </c>
      <c r="I39" s="139">
        <v>0.0361</v>
      </c>
      <c r="J39" s="140">
        <v>0.032</v>
      </c>
      <c r="K39" s="131">
        <f t="shared" si="0"/>
        <v>60.41439698896342</v>
      </c>
      <c r="L39" s="47" t="s">
        <v>42</v>
      </c>
    </row>
    <row r="40" spans="2:12" ht="15">
      <c r="B40" s="40">
        <v>38231</v>
      </c>
      <c r="C40" s="206">
        <v>4.298807186747194</v>
      </c>
      <c r="D40" s="196">
        <v>0</v>
      </c>
      <c r="E40" s="228">
        <f t="shared" si="1"/>
        <v>4.298807186747194</v>
      </c>
      <c r="F40" s="206">
        <f t="shared" si="2"/>
        <v>0.15385852493726535</v>
      </c>
      <c r="G40" s="207">
        <f t="shared" si="3"/>
        <v>0.15385852493726535</v>
      </c>
      <c r="H40" s="131">
        <v>27.94</v>
      </c>
      <c r="I40" s="139">
        <v>0.035699999999999996</v>
      </c>
      <c r="J40" s="140">
        <v>0.0326</v>
      </c>
      <c r="K40" s="131">
        <f t="shared" si="0"/>
        <v>61.10686984530261</v>
      </c>
      <c r="L40" s="47" t="s">
        <v>42</v>
      </c>
    </row>
    <row r="41" spans="2:12" ht="15">
      <c r="B41" s="40">
        <v>38261</v>
      </c>
      <c r="C41" s="206">
        <v>4.266091895121696</v>
      </c>
      <c r="D41" s="196">
        <v>0</v>
      </c>
      <c r="E41" s="228">
        <f t="shared" si="1"/>
        <v>4.266091895121696</v>
      </c>
      <c r="F41" s="206">
        <f t="shared" si="2"/>
        <v>0.15704369207147786</v>
      </c>
      <c r="G41" s="207">
        <f t="shared" si="3"/>
        <v>0.15704369207147786</v>
      </c>
      <c r="H41" s="131">
        <v>27.165</v>
      </c>
      <c r="I41" s="139">
        <v>0.036000000000000004</v>
      </c>
      <c r="J41" s="140">
        <v>0.0325</v>
      </c>
      <c r="K41" s="131">
        <f t="shared" si="0"/>
        <v>60.46477067708448</v>
      </c>
      <c r="L41" s="47" t="s">
        <v>42</v>
      </c>
    </row>
    <row r="42" spans="2:12" ht="15">
      <c r="B42" s="40">
        <v>38292</v>
      </c>
      <c r="C42" s="206">
        <v>4.1467909047742015</v>
      </c>
      <c r="D42" s="196">
        <v>0</v>
      </c>
      <c r="E42" s="228">
        <f t="shared" si="1"/>
        <v>4.1467909047742015</v>
      </c>
      <c r="F42" s="206">
        <f t="shared" si="2"/>
        <v>0.15563110920526183</v>
      </c>
      <c r="G42" s="207">
        <f t="shared" si="3"/>
        <v>0.15563110920526183</v>
      </c>
      <c r="H42" s="131">
        <v>26.645</v>
      </c>
      <c r="I42" s="139">
        <v>0.0356</v>
      </c>
      <c r="J42" s="140">
        <v>0.0316</v>
      </c>
      <c r="K42" s="131">
        <f t="shared" si="0"/>
        <v>59.91087183272944</v>
      </c>
      <c r="L42" s="47" t="s">
        <v>42</v>
      </c>
    </row>
    <row r="43" spans="2:12" ht="15">
      <c r="B43" s="125">
        <v>38322</v>
      </c>
      <c r="C43" s="208">
        <v>4.092504629341228</v>
      </c>
      <c r="D43" s="209">
        <v>0</v>
      </c>
      <c r="E43" s="229">
        <f t="shared" si="1"/>
        <v>4.092504629341228</v>
      </c>
      <c r="F43" s="208">
        <f t="shared" si="2"/>
        <v>0.1540620625410792</v>
      </c>
      <c r="G43" s="210">
        <f t="shared" si="3"/>
        <v>0.1540620625410792</v>
      </c>
      <c r="H43" s="132">
        <v>26.564</v>
      </c>
      <c r="I43" s="141">
        <v>0.035699999999999996</v>
      </c>
      <c r="J43" s="142">
        <v>0.030699999999999998</v>
      </c>
      <c r="K43" s="132">
        <f t="shared" si="0"/>
        <v>59.838937731624</v>
      </c>
      <c r="L43" s="48" t="s">
        <v>42</v>
      </c>
    </row>
    <row r="44" spans="2:12" ht="15">
      <c r="B44" s="40">
        <v>38353</v>
      </c>
      <c r="C44" s="206">
        <v>4.124300571172734</v>
      </c>
      <c r="D44" s="196">
        <v>0</v>
      </c>
      <c r="E44" s="228">
        <f t="shared" si="1"/>
        <v>4.124300571172734</v>
      </c>
      <c r="F44" s="206">
        <f t="shared" si="2"/>
        <v>0.16157886664731574</v>
      </c>
      <c r="G44" s="207">
        <f t="shared" si="3"/>
        <v>0.16157886664731574</v>
      </c>
      <c r="H44" s="131">
        <v>25.525</v>
      </c>
      <c r="I44" s="139">
        <v>0.0366</v>
      </c>
      <c r="J44" s="140">
        <v>0.0308</v>
      </c>
      <c r="K44" s="131">
        <f t="shared" si="0"/>
        <v>59.40912925546273</v>
      </c>
      <c r="L44" s="47" t="s">
        <v>43</v>
      </c>
    </row>
    <row r="45" spans="2:12" ht="15">
      <c r="B45" s="40">
        <v>38384</v>
      </c>
      <c r="C45" s="206">
        <v>4.145048253926778</v>
      </c>
      <c r="D45" s="196">
        <v>0</v>
      </c>
      <c r="E45" s="228">
        <f t="shared" si="1"/>
        <v>4.145048253926778</v>
      </c>
      <c r="F45" s="206">
        <f t="shared" si="2"/>
        <v>0.1662808189155479</v>
      </c>
      <c r="G45" s="207">
        <f t="shared" si="3"/>
        <v>0.1662808189155479</v>
      </c>
      <c r="H45" s="131">
        <v>24.928</v>
      </c>
      <c r="I45" s="139">
        <v>0.0378</v>
      </c>
      <c r="J45" s="140">
        <v>0.0316</v>
      </c>
      <c r="K45" s="131">
        <f t="shared" si="0"/>
        <v>57.987301053786666</v>
      </c>
      <c r="L45" s="47" t="s">
        <v>43</v>
      </c>
    </row>
    <row r="46" spans="2:12" ht="15">
      <c r="B46" s="40">
        <v>38412</v>
      </c>
      <c r="C46" s="206">
        <v>4.259470020259612</v>
      </c>
      <c r="D46" s="196">
        <v>0</v>
      </c>
      <c r="E46" s="228">
        <f t="shared" si="1"/>
        <v>4.259470020259612</v>
      </c>
      <c r="F46" s="206">
        <f t="shared" si="2"/>
        <v>0.16690059246344627</v>
      </c>
      <c r="G46" s="207">
        <f t="shared" si="3"/>
        <v>0.16690059246344627</v>
      </c>
      <c r="H46" s="131">
        <v>25.521</v>
      </c>
      <c r="I46" s="139">
        <v>0.038</v>
      </c>
      <c r="J46" s="140">
        <v>0.032799999999999996</v>
      </c>
      <c r="K46" s="131">
        <f t="shared" si="0"/>
        <v>58.40971450084487</v>
      </c>
      <c r="L46" s="47" t="s">
        <v>43</v>
      </c>
    </row>
    <row r="47" spans="2:12" ht="15">
      <c r="B47" s="40">
        <v>38443</v>
      </c>
      <c r="C47" s="206">
        <v>4.398026572341139</v>
      </c>
      <c r="D47" s="196">
        <v>0</v>
      </c>
      <c r="E47" s="228">
        <f t="shared" si="1"/>
        <v>4.398026572341139</v>
      </c>
      <c r="F47" s="206">
        <f t="shared" si="2"/>
        <v>0.17445563555498367</v>
      </c>
      <c r="G47" s="207">
        <f t="shared" si="3"/>
        <v>0.17445563555498367</v>
      </c>
      <c r="H47" s="131">
        <v>25.21</v>
      </c>
      <c r="I47" s="139">
        <v>0.038900000000000004</v>
      </c>
      <c r="J47" s="140">
        <v>0.0332</v>
      </c>
      <c r="K47" s="131">
        <f t="shared" si="0"/>
        <v>59.22231221929007</v>
      </c>
      <c r="L47" s="47" t="s">
        <v>43</v>
      </c>
    </row>
    <row r="48" spans="2:12" ht="15">
      <c r="B48" s="40">
        <v>38473</v>
      </c>
      <c r="C48" s="206">
        <v>4.3483425078779065</v>
      </c>
      <c r="D48" s="196">
        <v>0</v>
      </c>
      <c r="E48" s="228">
        <f t="shared" si="1"/>
        <v>4.3483425078779065</v>
      </c>
      <c r="F48" s="206">
        <f t="shared" si="2"/>
        <v>0.17762111465536157</v>
      </c>
      <c r="G48" s="207">
        <f t="shared" si="3"/>
        <v>0.17762111465536157</v>
      </c>
      <c r="H48" s="131">
        <v>24.481</v>
      </c>
      <c r="I48" s="139">
        <v>0.0383</v>
      </c>
      <c r="J48" s="140">
        <v>0.033</v>
      </c>
      <c r="K48" s="131">
        <f t="shared" si="0"/>
        <v>59.2102630465816</v>
      </c>
      <c r="L48" s="47" t="s">
        <v>43</v>
      </c>
    </row>
    <row r="49" spans="2:12" ht="15">
      <c r="B49" s="40">
        <v>38504</v>
      </c>
      <c r="C49" s="206">
        <v>4.3335434253105</v>
      </c>
      <c r="D49" s="196">
        <v>0</v>
      </c>
      <c r="E49" s="228">
        <f t="shared" si="1"/>
        <v>4.3335434253105</v>
      </c>
      <c r="F49" s="206">
        <f t="shared" si="2"/>
        <v>0.17870282166228868</v>
      </c>
      <c r="G49" s="207">
        <f t="shared" si="3"/>
        <v>0.17870282166228868</v>
      </c>
      <c r="H49" s="131">
        <v>24.25</v>
      </c>
      <c r="I49" s="139">
        <v>0.0382</v>
      </c>
      <c r="J49" s="140">
        <v>0.0322</v>
      </c>
      <c r="K49" s="131">
        <f t="shared" si="0"/>
        <v>59.76312093598992</v>
      </c>
      <c r="L49" s="47" t="s">
        <v>43</v>
      </c>
    </row>
    <row r="50" spans="2:12" ht="15">
      <c r="B50" s="40">
        <v>38534</v>
      </c>
      <c r="C50" s="206">
        <v>4.293638362068547</v>
      </c>
      <c r="D50" s="196">
        <v>0</v>
      </c>
      <c r="E50" s="228">
        <f t="shared" si="1"/>
        <v>4.293638362068547</v>
      </c>
      <c r="F50" s="206">
        <f t="shared" si="2"/>
        <v>0.17446722316410188</v>
      </c>
      <c r="G50" s="207">
        <f t="shared" si="3"/>
        <v>0.17446722316410188</v>
      </c>
      <c r="H50" s="131">
        <v>24.61</v>
      </c>
      <c r="I50" s="139">
        <v>0.037000000000000005</v>
      </c>
      <c r="J50" s="140">
        <v>0.032</v>
      </c>
      <c r="K50" s="131">
        <f t="shared" si="0"/>
        <v>60.4142164354657</v>
      </c>
      <c r="L50" s="47" t="s">
        <v>43</v>
      </c>
    </row>
    <row r="51" spans="2:12" ht="15">
      <c r="B51" s="40">
        <v>38565</v>
      </c>
      <c r="C51" s="206">
        <v>4.117354684982933</v>
      </c>
      <c r="D51" s="196">
        <v>0</v>
      </c>
      <c r="E51" s="228">
        <f t="shared" si="1"/>
        <v>4.117354684982933</v>
      </c>
      <c r="F51" s="206">
        <f t="shared" si="2"/>
        <v>0.16914611309600416</v>
      </c>
      <c r="G51" s="207">
        <f t="shared" si="3"/>
        <v>0.16914611309600416</v>
      </c>
      <c r="H51" s="131">
        <v>24.342</v>
      </c>
      <c r="I51" s="139">
        <v>0.0355</v>
      </c>
      <c r="J51" s="140">
        <v>0.0319</v>
      </c>
      <c r="K51" s="131">
        <f t="shared" si="0"/>
        <v>59.30907615716824</v>
      </c>
      <c r="L51" s="47" t="s">
        <v>43</v>
      </c>
    </row>
    <row r="52" spans="2:12" ht="15">
      <c r="B52" s="40">
        <v>38596</v>
      </c>
      <c r="C52" s="206">
        <v>4.222956552680217</v>
      </c>
      <c r="D52" s="196">
        <v>0</v>
      </c>
      <c r="E52" s="228">
        <f t="shared" si="1"/>
        <v>4.222956552680217</v>
      </c>
      <c r="F52" s="206">
        <f t="shared" si="2"/>
        <v>0.1752991512113</v>
      </c>
      <c r="G52" s="207">
        <f t="shared" si="3"/>
        <v>0.1752991512113</v>
      </c>
      <c r="H52" s="131">
        <v>24.09</v>
      </c>
      <c r="I52" s="139">
        <v>0.036000000000000004</v>
      </c>
      <c r="J52" s="140">
        <v>0.0327</v>
      </c>
      <c r="K52" s="131">
        <f t="shared" si="0"/>
        <v>59.679153102418226</v>
      </c>
      <c r="L52" s="47" t="s">
        <v>43</v>
      </c>
    </row>
    <row r="53" spans="2:12" ht="15">
      <c r="B53" s="40">
        <v>38626</v>
      </c>
      <c r="C53" s="206">
        <v>4.164243790423683</v>
      </c>
      <c r="D53" s="196">
        <v>0</v>
      </c>
      <c r="E53" s="228">
        <f t="shared" si="1"/>
        <v>4.164243790423683</v>
      </c>
      <c r="F53" s="206">
        <f t="shared" si="2"/>
        <v>0.17651084225261457</v>
      </c>
      <c r="G53" s="207">
        <f t="shared" si="3"/>
        <v>0.17651084225261457</v>
      </c>
      <c r="H53" s="131">
        <v>23.592</v>
      </c>
      <c r="I53" s="139">
        <v>0.0358</v>
      </c>
      <c r="J53" s="140">
        <v>0.032799999999999996</v>
      </c>
      <c r="K53" s="131">
        <f t="shared" si="0"/>
        <v>58.935206069003975</v>
      </c>
      <c r="L53" s="47" t="s">
        <v>43</v>
      </c>
    </row>
    <row r="54" spans="2:12" ht="15">
      <c r="B54" s="40">
        <v>38657</v>
      </c>
      <c r="C54" s="206">
        <v>4.166325925610694</v>
      </c>
      <c r="D54" s="196">
        <v>0</v>
      </c>
      <c r="E54" s="228">
        <f t="shared" si="1"/>
        <v>4.166325925610694</v>
      </c>
      <c r="F54" s="206">
        <f t="shared" si="2"/>
        <v>0.177132176591586</v>
      </c>
      <c r="G54" s="207">
        <f t="shared" si="3"/>
        <v>0.177132176591586</v>
      </c>
      <c r="H54" s="131">
        <v>23.521</v>
      </c>
      <c r="I54" s="139">
        <v>0.0351</v>
      </c>
      <c r="J54" s="140">
        <v>0.0318</v>
      </c>
      <c r="K54" s="131">
        <f t="shared" si="0"/>
        <v>60.463028801292964</v>
      </c>
      <c r="L54" s="47" t="s">
        <v>43</v>
      </c>
    </row>
    <row r="55" spans="2:12" ht="15">
      <c r="B55" s="40">
        <v>38687</v>
      </c>
      <c r="C55" s="206">
        <v>4.149209927829462</v>
      </c>
      <c r="D55" s="196">
        <v>0</v>
      </c>
      <c r="E55" s="228">
        <f t="shared" si="1"/>
        <v>4.149209927829462</v>
      </c>
      <c r="F55" s="206">
        <f t="shared" si="2"/>
        <v>0.17543486228191038</v>
      </c>
      <c r="G55" s="207">
        <f t="shared" si="3"/>
        <v>0.17543486228191038</v>
      </c>
      <c r="H55" s="131">
        <v>23.651</v>
      </c>
      <c r="I55" s="139">
        <v>0.0353</v>
      </c>
      <c r="J55" s="140">
        <v>0.030699999999999998</v>
      </c>
      <c r="K55" s="131">
        <f t="shared" si="0"/>
        <v>61.03574474594677</v>
      </c>
      <c r="L55" s="47" t="s">
        <v>43</v>
      </c>
    </row>
    <row r="56" spans="2:12" ht="15">
      <c r="B56" s="35">
        <v>38718</v>
      </c>
      <c r="C56" s="211">
        <v>3.9836137596799412</v>
      </c>
      <c r="D56" s="212">
        <v>0</v>
      </c>
      <c r="E56" s="230">
        <f t="shared" si="1"/>
        <v>3.9836137596799412</v>
      </c>
      <c r="F56" s="211">
        <f t="shared" si="2"/>
        <v>0.1647142344296027</v>
      </c>
      <c r="G56" s="213">
        <f t="shared" si="3"/>
        <v>0.1647142344296027</v>
      </c>
      <c r="H56" s="130">
        <v>24.185</v>
      </c>
      <c r="I56" s="137">
        <v>0.0361</v>
      </c>
      <c r="J56" s="138">
        <v>0.0304</v>
      </c>
      <c r="K56" s="130">
        <f t="shared" si="0"/>
        <v>58.15919059318112</v>
      </c>
      <c r="L56" s="46" t="s">
        <v>44</v>
      </c>
    </row>
    <row r="57" spans="2:12" ht="15">
      <c r="B57" s="40">
        <v>38749</v>
      </c>
      <c r="C57" s="206">
        <v>4.075459365650063</v>
      </c>
      <c r="D57" s="196">
        <v>0</v>
      </c>
      <c r="E57" s="228">
        <f t="shared" si="1"/>
        <v>4.075459365650063</v>
      </c>
      <c r="F57" s="206">
        <f t="shared" si="2"/>
        <v>0.16819890076970956</v>
      </c>
      <c r="G57" s="207">
        <f t="shared" si="3"/>
        <v>0.16819890076970956</v>
      </c>
      <c r="H57" s="131">
        <v>24.23</v>
      </c>
      <c r="I57" s="139">
        <v>0.0366</v>
      </c>
      <c r="J57" s="140">
        <v>0.031400000000000004</v>
      </c>
      <c r="K57" s="131">
        <f t="shared" si="0"/>
        <v>58.18759802470106</v>
      </c>
      <c r="L57" s="47" t="s">
        <v>44</v>
      </c>
    </row>
    <row r="58" spans="2:12" ht="15">
      <c r="B58" s="40">
        <v>38777</v>
      </c>
      <c r="C58" s="206">
        <v>4.418074166605043</v>
      </c>
      <c r="D58" s="196">
        <v>0</v>
      </c>
      <c r="E58" s="228">
        <f t="shared" si="1"/>
        <v>4.418074166605043</v>
      </c>
      <c r="F58" s="206">
        <f t="shared" si="2"/>
        <v>0.1820384905894126</v>
      </c>
      <c r="G58" s="207">
        <f t="shared" si="3"/>
        <v>0.1820384905894126</v>
      </c>
      <c r="H58" s="131">
        <v>24.27</v>
      </c>
      <c r="I58" s="139">
        <v>0.0379</v>
      </c>
      <c r="J58" s="140">
        <v>0.0322</v>
      </c>
      <c r="K58" s="131">
        <f t="shared" si="0"/>
        <v>61.189620467363454</v>
      </c>
      <c r="L58" s="47" t="s">
        <v>44</v>
      </c>
    </row>
    <row r="59" spans="2:12" ht="15">
      <c r="B59" s="40">
        <v>38808</v>
      </c>
      <c r="C59" s="206">
        <v>4.485499120247729</v>
      </c>
      <c r="D59" s="196">
        <v>0</v>
      </c>
      <c r="E59" s="228">
        <f t="shared" si="1"/>
        <v>4.485499120247729</v>
      </c>
      <c r="F59" s="206">
        <f t="shared" si="2"/>
        <v>0.18614346683187652</v>
      </c>
      <c r="G59" s="207">
        <f t="shared" si="3"/>
        <v>0.18614346683187652</v>
      </c>
      <c r="H59" s="131">
        <v>24.097</v>
      </c>
      <c r="I59" s="139">
        <v>0.0381</v>
      </c>
      <c r="J59" s="140">
        <v>0.0327</v>
      </c>
      <c r="K59" s="131">
        <f t="shared" si="0"/>
        <v>61.50923043507938</v>
      </c>
      <c r="L59" s="47" t="s">
        <v>44</v>
      </c>
    </row>
    <row r="60" spans="2:12" ht="15">
      <c r="B60" s="40">
        <v>38838</v>
      </c>
      <c r="C60" s="206">
        <v>4.465287556069938</v>
      </c>
      <c r="D60" s="196">
        <v>0</v>
      </c>
      <c r="E60" s="228">
        <f t="shared" si="1"/>
        <v>4.465287556069938</v>
      </c>
      <c r="F60" s="206">
        <f t="shared" si="2"/>
        <v>0.18639537302011763</v>
      </c>
      <c r="G60" s="207">
        <f t="shared" si="3"/>
        <v>0.18639537302011763</v>
      </c>
      <c r="H60" s="131">
        <v>23.956</v>
      </c>
      <c r="I60" s="139">
        <v>0.038</v>
      </c>
      <c r="J60" s="140">
        <v>0.0327</v>
      </c>
      <c r="K60" s="131">
        <f t="shared" si="0"/>
        <v>61.31867944782326</v>
      </c>
      <c r="L60" s="47" t="s">
        <v>44</v>
      </c>
    </row>
    <row r="61" spans="2:12" ht="15">
      <c r="B61" s="40">
        <v>38869</v>
      </c>
      <c r="C61" s="206">
        <v>4.421288094467141</v>
      </c>
      <c r="D61" s="196">
        <v>0</v>
      </c>
      <c r="E61" s="228">
        <f t="shared" si="1"/>
        <v>4.421288094467141</v>
      </c>
      <c r="F61" s="206">
        <f t="shared" si="2"/>
        <v>0.1851383147467502</v>
      </c>
      <c r="G61" s="207">
        <f t="shared" si="3"/>
        <v>0.1851383147467502</v>
      </c>
      <c r="H61" s="131">
        <v>23.881</v>
      </c>
      <c r="I61" s="139">
        <v>0.0382</v>
      </c>
      <c r="J61" s="140">
        <v>0.0318</v>
      </c>
      <c r="K61" s="131">
        <f t="shared" si="0"/>
        <v>61.321610186784206</v>
      </c>
      <c r="L61" s="47" t="s">
        <v>44</v>
      </c>
    </row>
    <row r="62" spans="2:12" ht="15">
      <c r="B62" s="40">
        <v>38899</v>
      </c>
      <c r="C62" s="206">
        <v>4.352988266852353</v>
      </c>
      <c r="D62" s="196">
        <v>0</v>
      </c>
      <c r="E62" s="228">
        <f t="shared" si="1"/>
        <v>4.352988266852353</v>
      </c>
      <c r="F62" s="206">
        <f t="shared" si="2"/>
        <v>0.18173798709303413</v>
      </c>
      <c r="G62" s="207">
        <f t="shared" si="3"/>
        <v>0.18173798709303413</v>
      </c>
      <c r="H62" s="131">
        <v>23.952</v>
      </c>
      <c r="I62" s="139">
        <v>0.0368</v>
      </c>
      <c r="J62" s="140">
        <v>0.0318</v>
      </c>
      <c r="K62" s="131">
        <f t="shared" si="0"/>
        <v>61.606446076203035</v>
      </c>
      <c r="L62" s="47" t="s">
        <v>44</v>
      </c>
    </row>
    <row r="63" spans="2:12" ht="15">
      <c r="B63" s="40">
        <v>38930</v>
      </c>
      <c r="C63" s="206">
        <v>4.157471283907634</v>
      </c>
      <c r="D63" s="196">
        <v>0</v>
      </c>
      <c r="E63" s="228">
        <f t="shared" si="1"/>
        <v>4.157471283907634</v>
      </c>
      <c r="F63" s="206">
        <f t="shared" si="2"/>
        <v>0.1737129187275993</v>
      </c>
      <c r="G63" s="207">
        <f t="shared" si="3"/>
        <v>0.1737129187275993</v>
      </c>
      <c r="H63" s="131">
        <v>23.933</v>
      </c>
      <c r="I63" s="139">
        <v>0.035699999999999996</v>
      </c>
      <c r="J63" s="140">
        <v>0.0325</v>
      </c>
      <c r="K63" s="131">
        <f t="shared" si="0"/>
        <v>59.1844558253514</v>
      </c>
      <c r="L63" s="47" t="s">
        <v>44</v>
      </c>
    </row>
    <row r="64" spans="2:12" ht="15">
      <c r="B64" s="40">
        <v>38961</v>
      </c>
      <c r="C64" s="206">
        <v>3.8755333867042783</v>
      </c>
      <c r="D64" s="196">
        <v>0</v>
      </c>
      <c r="E64" s="228">
        <f t="shared" si="1"/>
        <v>3.8755333867042783</v>
      </c>
      <c r="F64" s="206">
        <f t="shared" si="2"/>
        <v>0.1616489420940262</v>
      </c>
      <c r="G64" s="207">
        <f t="shared" si="3"/>
        <v>0.1616489420940262</v>
      </c>
      <c r="H64" s="131">
        <v>23.975</v>
      </c>
      <c r="I64" s="139">
        <v>0.0355</v>
      </c>
      <c r="J64" s="140">
        <v>0.0329</v>
      </c>
      <c r="K64" s="131">
        <f t="shared" si="0"/>
        <v>55.00955809209503</v>
      </c>
      <c r="L64" s="47" t="s">
        <v>44</v>
      </c>
    </row>
    <row r="65" spans="2:12" ht="15">
      <c r="B65" s="40">
        <v>38991</v>
      </c>
      <c r="C65" s="206">
        <v>3.823356318201433</v>
      </c>
      <c r="D65" s="196">
        <v>0</v>
      </c>
      <c r="E65" s="228">
        <f t="shared" si="1"/>
        <v>3.823356318201433</v>
      </c>
      <c r="F65" s="206">
        <f t="shared" si="2"/>
        <v>0.16026812199033505</v>
      </c>
      <c r="G65" s="207">
        <f t="shared" si="3"/>
        <v>0.16026812199033505</v>
      </c>
      <c r="H65" s="131">
        <v>23.856</v>
      </c>
      <c r="I65" s="139">
        <v>0.0353</v>
      </c>
      <c r="J65" s="140">
        <v>0.0326</v>
      </c>
      <c r="K65" s="131">
        <f t="shared" si="0"/>
        <v>54.668577694231004</v>
      </c>
      <c r="L65" s="47" t="s">
        <v>44</v>
      </c>
    </row>
    <row r="66" spans="2:12" ht="15">
      <c r="B66" s="40">
        <v>39022</v>
      </c>
      <c r="C66" s="206">
        <v>3.775946583725355</v>
      </c>
      <c r="D66" s="196">
        <v>0</v>
      </c>
      <c r="E66" s="228">
        <f t="shared" si="1"/>
        <v>3.775946583725355</v>
      </c>
      <c r="F66" s="206">
        <f t="shared" si="2"/>
        <v>0.1566847829256548</v>
      </c>
      <c r="G66" s="207">
        <f t="shared" si="3"/>
        <v>0.1566847829256548</v>
      </c>
      <c r="H66" s="131">
        <v>24.099</v>
      </c>
      <c r="I66" s="139">
        <v>0.0354</v>
      </c>
      <c r="J66" s="140">
        <v>0.0316</v>
      </c>
      <c r="K66" s="131">
        <f t="shared" si="0"/>
        <v>54.71593368678966</v>
      </c>
      <c r="L66" s="47" t="s">
        <v>44</v>
      </c>
    </row>
    <row r="67" spans="2:12" ht="15">
      <c r="B67" s="125">
        <v>39052</v>
      </c>
      <c r="C67" s="208">
        <v>3.7215982735167548</v>
      </c>
      <c r="D67" s="209">
        <v>0</v>
      </c>
      <c r="E67" s="229">
        <f t="shared" si="1"/>
        <v>3.7215982735167548</v>
      </c>
      <c r="F67" s="208">
        <f t="shared" si="2"/>
        <v>0.1522188340429774</v>
      </c>
      <c r="G67" s="210">
        <f t="shared" si="3"/>
        <v>0.1522188340429774</v>
      </c>
      <c r="H67" s="132">
        <v>24.449</v>
      </c>
      <c r="I67" s="141">
        <v>0.0359</v>
      </c>
      <c r="J67" s="142">
        <v>0.030600000000000002</v>
      </c>
      <c r="K67" s="132">
        <f t="shared" si="0"/>
        <v>54.33386777891459</v>
      </c>
      <c r="L67" s="48" t="s">
        <v>44</v>
      </c>
    </row>
    <row r="68" spans="2:12" ht="15">
      <c r="B68" s="40">
        <v>39083</v>
      </c>
      <c r="C68" s="206">
        <v>4.218397156083076</v>
      </c>
      <c r="D68" s="196">
        <v>0</v>
      </c>
      <c r="E68" s="228">
        <f t="shared" si="1"/>
        <v>4.218397156083076</v>
      </c>
      <c r="F68" s="206">
        <f t="shared" si="2"/>
        <v>0.17272231732723564</v>
      </c>
      <c r="G68" s="207">
        <f t="shared" si="3"/>
        <v>0.17272231732723564</v>
      </c>
      <c r="H68" s="131">
        <v>24.423</v>
      </c>
      <c r="I68" s="139">
        <v>0.0368</v>
      </c>
      <c r="J68" s="140">
        <v>0.0309</v>
      </c>
      <c r="K68" s="131">
        <f t="shared" si="0"/>
        <v>60.49529127766812</v>
      </c>
      <c r="L68" s="47" t="s">
        <v>45</v>
      </c>
    </row>
    <row r="69" spans="2:12" ht="15">
      <c r="B69" s="40">
        <v>39114</v>
      </c>
      <c r="C69" s="206">
        <v>4.3301085522307705</v>
      </c>
      <c r="D69" s="196">
        <v>0</v>
      </c>
      <c r="E69" s="228">
        <f t="shared" si="1"/>
        <v>4.3301085522307705</v>
      </c>
      <c r="F69" s="206">
        <f t="shared" si="2"/>
        <v>0.1781864348064183</v>
      </c>
      <c r="G69" s="207">
        <f t="shared" si="3"/>
        <v>0.1781864348064183</v>
      </c>
      <c r="H69" s="131">
        <v>24.301</v>
      </c>
      <c r="I69" s="139">
        <v>0.0375</v>
      </c>
      <c r="J69" s="140">
        <v>0.0312</v>
      </c>
      <c r="K69" s="131">
        <f t="shared" si="0"/>
        <v>61.19343356129464</v>
      </c>
      <c r="L69" s="47" t="s">
        <v>45</v>
      </c>
    </row>
    <row r="70" spans="2:12" ht="15">
      <c r="B70" s="40">
        <v>39142</v>
      </c>
      <c r="C70" s="206">
        <v>4.907777921552689</v>
      </c>
      <c r="D70" s="196">
        <v>0</v>
      </c>
      <c r="E70" s="228">
        <f t="shared" si="1"/>
        <v>4.907777921552689</v>
      </c>
      <c r="F70" s="206">
        <f t="shared" si="2"/>
        <v>0.20204931747849686</v>
      </c>
      <c r="G70" s="207">
        <f t="shared" si="3"/>
        <v>0.20204931747849686</v>
      </c>
      <c r="H70" s="131">
        <v>24.29</v>
      </c>
      <c r="I70" s="139">
        <v>0.0388</v>
      </c>
      <c r="J70" s="140">
        <v>0.0322</v>
      </c>
      <c r="K70" s="131">
        <f t="shared" si="0"/>
        <v>67.11032300769435</v>
      </c>
      <c r="L70" s="47" t="s">
        <v>45</v>
      </c>
    </row>
    <row r="71" spans="2:12" ht="15">
      <c r="B71" s="40">
        <v>39173</v>
      </c>
      <c r="C71" s="206">
        <v>5.192389658390091</v>
      </c>
      <c r="D71" s="196">
        <v>0</v>
      </c>
      <c r="E71" s="228">
        <f t="shared" si="1"/>
        <v>5.192389658390091</v>
      </c>
      <c r="F71" s="206">
        <f t="shared" si="2"/>
        <v>0.21558603522483252</v>
      </c>
      <c r="G71" s="207">
        <f t="shared" si="3"/>
        <v>0.21558603522483252</v>
      </c>
      <c r="H71" s="131">
        <v>24.085</v>
      </c>
      <c r="I71" s="139">
        <v>0.0393</v>
      </c>
      <c r="J71" s="140">
        <v>0.0323</v>
      </c>
      <c r="K71" s="131">
        <f t="shared" si="0"/>
        <v>70.40719285119721</v>
      </c>
      <c r="L71" s="47" t="s">
        <v>45</v>
      </c>
    </row>
    <row r="72" spans="2:12" ht="15">
      <c r="B72" s="40">
        <v>39203</v>
      </c>
      <c r="C72" s="206">
        <v>5.900806463533746</v>
      </c>
      <c r="D72" s="196">
        <v>0</v>
      </c>
      <c r="E72" s="228">
        <f t="shared" si="1"/>
        <v>5.900806463533746</v>
      </c>
      <c r="F72" s="206">
        <f t="shared" si="2"/>
        <v>0.24594891895355725</v>
      </c>
      <c r="G72" s="207">
        <f t="shared" si="3"/>
        <v>0.24594891895355725</v>
      </c>
      <c r="H72" s="131">
        <v>23.992</v>
      </c>
      <c r="I72" s="139">
        <v>0.039</v>
      </c>
      <c r="J72" s="140">
        <v>0.0325</v>
      </c>
      <c r="K72" s="131">
        <f aca="true" t="shared" si="4" ref="K72:K135">C72/1.03/(I72+J72)</f>
        <v>80.1250113861599</v>
      </c>
      <c r="L72" s="47" t="s">
        <v>45</v>
      </c>
    </row>
    <row r="73" spans="2:12" ht="15">
      <c r="B73" s="40">
        <v>39234</v>
      </c>
      <c r="C73" s="206">
        <v>5.853415123751404</v>
      </c>
      <c r="D73" s="196">
        <v>0</v>
      </c>
      <c r="E73" s="228">
        <f aca="true" t="shared" si="5" ref="E73:E136">C73-D73</f>
        <v>5.853415123751404</v>
      </c>
      <c r="F73" s="206">
        <f aca="true" t="shared" si="6" ref="F73:F136">C73/H73</f>
        <v>0.24483081494693842</v>
      </c>
      <c r="G73" s="207">
        <f aca="true" t="shared" si="7" ref="G73:G136">E73/H73</f>
        <v>0.24483081494693842</v>
      </c>
      <c r="H73" s="131">
        <v>23.908</v>
      </c>
      <c r="I73" s="139">
        <v>0.0381</v>
      </c>
      <c r="J73" s="140">
        <v>0.0319</v>
      </c>
      <c r="K73" s="131">
        <f t="shared" si="4"/>
        <v>81.1846757801859</v>
      </c>
      <c r="L73" s="47" t="s">
        <v>45</v>
      </c>
    </row>
    <row r="74" spans="2:12" ht="15">
      <c r="B74" s="40">
        <v>39264</v>
      </c>
      <c r="C74" s="206">
        <v>5.761373746522552</v>
      </c>
      <c r="D74" s="196">
        <v>0</v>
      </c>
      <c r="E74" s="228">
        <f t="shared" si="5"/>
        <v>5.761373746522552</v>
      </c>
      <c r="F74" s="206">
        <f t="shared" si="6"/>
        <v>0.24209487127164267</v>
      </c>
      <c r="G74" s="207">
        <f t="shared" si="7"/>
        <v>0.24209487127164267</v>
      </c>
      <c r="H74" s="131">
        <v>23.798</v>
      </c>
      <c r="I74" s="139">
        <v>0.0372</v>
      </c>
      <c r="J74" s="140">
        <v>0.0316</v>
      </c>
      <c r="K74" s="131">
        <f t="shared" si="4"/>
        <v>81.30184221216065</v>
      </c>
      <c r="L74" s="47" t="s">
        <v>45</v>
      </c>
    </row>
    <row r="75" spans="2:12" ht="15">
      <c r="B75" s="40">
        <v>39295</v>
      </c>
      <c r="C75" s="206">
        <v>6.5213280000000005</v>
      </c>
      <c r="D75" s="196">
        <v>0</v>
      </c>
      <c r="E75" s="228">
        <f t="shared" si="5"/>
        <v>6.5213280000000005</v>
      </c>
      <c r="F75" s="206">
        <f t="shared" si="6"/>
        <v>0.276</v>
      </c>
      <c r="G75" s="207">
        <f t="shared" si="7"/>
        <v>0.276</v>
      </c>
      <c r="H75" s="131">
        <v>23.628</v>
      </c>
      <c r="I75" s="139">
        <v>0.0362</v>
      </c>
      <c r="J75" s="140">
        <v>0.0315</v>
      </c>
      <c r="K75" s="131">
        <f t="shared" si="4"/>
        <v>93.52121724914312</v>
      </c>
      <c r="L75" s="47" t="s">
        <v>45</v>
      </c>
    </row>
    <row r="76" spans="2:12" ht="15">
      <c r="B76" s="40">
        <v>39326</v>
      </c>
      <c r="C76" s="206">
        <v>7.239400000000002</v>
      </c>
      <c r="D76" s="196">
        <v>0</v>
      </c>
      <c r="E76" s="228">
        <f t="shared" si="5"/>
        <v>7.239400000000002</v>
      </c>
      <c r="F76" s="206">
        <f t="shared" si="6"/>
        <v>0.3115060240963856</v>
      </c>
      <c r="G76" s="207">
        <f t="shared" si="7"/>
        <v>0.3115060240963856</v>
      </c>
      <c r="H76" s="131">
        <v>23.24</v>
      </c>
      <c r="I76" s="139">
        <v>0.0348</v>
      </c>
      <c r="J76" s="140">
        <v>0.032</v>
      </c>
      <c r="K76" s="131">
        <f t="shared" si="4"/>
        <v>105.21771990000585</v>
      </c>
      <c r="L76" s="47" t="s">
        <v>45</v>
      </c>
    </row>
    <row r="77" spans="2:12" ht="15">
      <c r="B77" s="40">
        <v>39356</v>
      </c>
      <c r="C77" s="206">
        <v>7.366916</v>
      </c>
      <c r="D77" s="196">
        <v>0</v>
      </c>
      <c r="E77" s="228">
        <f t="shared" si="5"/>
        <v>7.366916</v>
      </c>
      <c r="F77" s="206">
        <f t="shared" si="6"/>
        <v>0.3308</v>
      </c>
      <c r="G77" s="207">
        <f t="shared" si="7"/>
        <v>0.3308</v>
      </c>
      <c r="H77" s="131">
        <v>22.27</v>
      </c>
      <c r="I77" s="139">
        <v>0.0349</v>
      </c>
      <c r="J77" s="140">
        <v>0.0318</v>
      </c>
      <c r="K77" s="131">
        <f t="shared" si="4"/>
        <v>107.23156868167857</v>
      </c>
      <c r="L77" s="47" t="s">
        <v>45</v>
      </c>
    </row>
    <row r="78" spans="2:12" ht="15">
      <c r="B78" s="40">
        <v>39387</v>
      </c>
      <c r="C78" s="206">
        <v>7.273725000000001</v>
      </c>
      <c r="D78" s="196">
        <v>0</v>
      </c>
      <c r="E78" s="228">
        <f t="shared" si="5"/>
        <v>7.273725000000001</v>
      </c>
      <c r="F78" s="206">
        <f t="shared" si="6"/>
        <v>0.331</v>
      </c>
      <c r="G78" s="207">
        <f t="shared" si="7"/>
        <v>0.331</v>
      </c>
      <c r="H78" s="131">
        <v>21.975</v>
      </c>
      <c r="I78" s="139">
        <v>0.0347</v>
      </c>
      <c r="J78" s="140">
        <v>0.0314</v>
      </c>
      <c r="K78" s="131">
        <f t="shared" si="4"/>
        <v>106.83614118061779</v>
      </c>
      <c r="L78" s="47" t="s">
        <v>45</v>
      </c>
    </row>
    <row r="79" spans="1:17" ht="15">
      <c r="A79" s="23"/>
      <c r="B79" s="40">
        <v>39417</v>
      </c>
      <c r="C79" s="206">
        <v>7.5358008</v>
      </c>
      <c r="D79" s="196">
        <v>0</v>
      </c>
      <c r="E79" s="228">
        <f t="shared" si="5"/>
        <v>7.5358008</v>
      </c>
      <c r="F79" s="206">
        <f t="shared" si="6"/>
        <v>0.3474</v>
      </c>
      <c r="G79" s="207">
        <f t="shared" si="7"/>
        <v>0.3474</v>
      </c>
      <c r="H79" s="131">
        <v>21.692</v>
      </c>
      <c r="I79" s="139">
        <v>0.0347</v>
      </c>
      <c r="J79" s="140">
        <v>0.0305</v>
      </c>
      <c r="K79" s="131">
        <f t="shared" si="4"/>
        <v>112.21336589433555</v>
      </c>
      <c r="L79" s="47" t="s">
        <v>45</v>
      </c>
      <c r="Q79" s="24"/>
    </row>
    <row r="80" spans="2:12" ht="15">
      <c r="B80" s="35">
        <v>39448</v>
      </c>
      <c r="C80" s="211">
        <v>7.986039999999999</v>
      </c>
      <c r="D80" s="212">
        <v>0</v>
      </c>
      <c r="E80" s="230">
        <f t="shared" si="5"/>
        <v>7.986039999999999</v>
      </c>
      <c r="F80" s="211">
        <f t="shared" si="6"/>
        <v>0.3767</v>
      </c>
      <c r="G80" s="213">
        <f t="shared" si="7"/>
        <v>0.3767</v>
      </c>
      <c r="H80" s="130">
        <v>21.2</v>
      </c>
      <c r="I80" s="137">
        <v>0.0359</v>
      </c>
      <c r="J80" s="138">
        <v>0.0306</v>
      </c>
      <c r="K80" s="130">
        <f t="shared" si="4"/>
        <v>116.59303598802829</v>
      </c>
      <c r="L80" s="46" t="s">
        <v>46</v>
      </c>
    </row>
    <row r="81" spans="2:12" ht="15">
      <c r="B81" s="40">
        <v>39479</v>
      </c>
      <c r="C81" s="206">
        <v>8.1486804</v>
      </c>
      <c r="D81" s="196">
        <v>0</v>
      </c>
      <c r="E81" s="228">
        <f t="shared" si="5"/>
        <v>8.1486804</v>
      </c>
      <c r="F81" s="206">
        <f t="shared" si="6"/>
        <v>0.3892</v>
      </c>
      <c r="G81" s="207">
        <f t="shared" si="7"/>
        <v>0.3892</v>
      </c>
      <c r="H81" s="131">
        <v>20.937</v>
      </c>
      <c r="I81" s="139">
        <v>0.036699999999999997</v>
      </c>
      <c r="J81" s="140">
        <v>0.0317</v>
      </c>
      <c r="K81" s="131">
        <f t="shared" si="4"/>
        <v>115.66286833588828</v>
      </c>
      <c r="L81" s="47" t="s">
        <v>46</v>
      </c>
    </row>
    <row r="82" spans="2:12" ht="15">
      <c r="B82" s="40">
        <v>39508</v>
      </c>
      <c r="C82" s="206">
        <v>8.308762236082694</v>
      </c>
      <c r="D82" s="196">
        <v>0</v>
      </c>
      <c r="E82" s="228">
        <f t="shared" si="5"/>
        <v>8.308762236082694</v>
      </c>
      <c r="F82" s="206">
        <f t="shared" si="6"/>
        <v>0.4028295469835496</v>
      </c>
      <c r="G82" s="207">
        <f t="shared" si="7"/>
        <v>0.4028295469835496</v>
      </c>
      <c r="H82" s="131">
        <v>20.626</v>
      </c>
      <c r="I82" s="139">
        <v>0.0381</v>
      </c>
      <c r="J82" s="140">
        <v>0.0323</v>
      </c>
      <c r="K82" s="131">
        <f t="shared" si="4"/>
        <v>114.58465131402657</v>
      </c>
      <c r="L82" s="47" t="s">
        <v>46</v>
      </c>
    </row>
    <row r="83" spans="2:12" ht="15">
      <c r="B83" s="40">
        <v>39539</v>
      </c>
      <c r="C83" s="206">
        <v>8.53</v>
      </c>
      <c r="D83" s="196">
        <v>0</v>
      </c>
      <c r="E83" s="228">
        <f t="shared" si="5"/>
        <v>8.53</v>
      </c>
      <c r="F83" s="206">
        <f t="shared" si="6"/>
        <v>0.4279335774845733</v>
      </c>
      <c r="G83" s="207">
        <f t="shared" si="7"/>
        <v>0.4279335774845733</v>
      </c>
      <c r="H83" s="131">
        <v>19.933</v>
      </c>
      <c r="I83" s="139">
        <v>0.0384</v>
      </c>
      <c r="J83" s="140">
        <v>0.0327</v>
      </c>
      <c r="K83" s="131">
        <f t="shared" si="4"/>
        <v>116.47754427648738</v>
      </c>
      <c r="L83" s="47" t="s">
        <v>46</v>
      </c>
    </row>
    <row r="84" spans="2:12" ht="15">
      <c r="B84" s="40">
        <v>39569</v>
      </c>
      <c r="C84" s="206">
        <v>8.49</v>
      </c>
      <c r="D84" s="196">
        <v>0</v>
      </c>
      <c r="E84" s="228">
        <f t="shared" si="5"/>
        <v>8.49</v>
      </c>
      <c r="F84" s="206">
        <f t="shared" si="6"/>
        <v>0.4271913052229043</v>
      </c>
      <c r="G84" s="207">
        <f t="shared" si="7"/>
        <v>0.4271913052229043</v>
      </c>
      <c r="H84" s="131">
        <v>19.874</v>
      </c>
      <c r="I84" s="139">
        <v>0.0388</v>
      </c>
      <c r="J84" s="140">
        <v>0.032400000000000005</v>
      </c>
      <c r="K84" s="131">
        <f t="shared" si="4"/>
        <v>115.76851750845421</v>
      </c>
      <c r="L84" s="47" t="s">
        <v>46</v>
      </c>
    </row>
    <row r="85" spans="2:12" ht="15">
      <c r="B85" s="40">
        <v>39600</v>
      </c>
      <c r="C85" s="206">
        <v>8.5</v>
      </c>
      <c r="D85" s="196">
        <v>0</v>
      </c>
      <c r="E85" s="228">
        <f t="shared" si="5"/>
        <v>8.5</v>
      </c>
      <c r="F85" s="206">
        <f t="shared" si="6"/>
        <v>0.4360315994665025</v>
      </c>
      <c r="G85" s="207">
        <f t="shared" si="7"/>
        <v>0.4360315994665025</v>
      </c>
      <c r="H85" s="131">
        <v>19.494</v>
      </c>
      <c r="I85" s="139">
        <v>0.0388</v>
      </c>
      <c r="J85" s="140">
        <v>0.0323</v>
      </c>
      <c r="K85" s="131">
        <f t="shared" si="4"/>
        <v>116.06789288981743</v>
      </c>
      <c r="L85" s="47" t="s">
        <v>46</v>
      </c>
    </row>
    <row r="86" spans="2:12" ht="15">
      <c r="B86" s="40">
        <v>39630</v>
      </c>
      <c r="C86" s="206">
        <v>8</v>
      </c>
      <c r="D86" s="196">
        <v>0</v>
      </c>
      <c r="E86" s="228">
        <f t="shared" si="5"/>
        <v>8</v>
      </c>
      <c r="F86" s="206">
        <f t="shared" si="6"/>
        <v>0.41554124246831503</v>
      </c>
      <c r="G86" s="207">
        <f t="shared" si="7"/>
        <v>0.41554124246831503</v>
      </c>
      <c r="H86" s="131">
        <v>19.252</v>
      </c>
      <c r="I86" s="139">
        <v>0.0371</v>
      </c>
      <c r="J86" s="140">
        <v>0.0321</v>
      </c>
      <c r="K86" s="131">
        <f t="shared" si="4"/>
        <v>112.23974409338348</v>
      </c>
      <c r="L86" s="47" t="s">
        <v>46</v>
      </c>
    </row>
    <row r="87" spans="2:12" ht="15">
      <c r="B87" s="40">
        <v>39661</v>
      </c>
      <c r="C87" s="206">
        <v>7.172570299070798</v>
      </c>
      <c r="D87" s="196">
        <v>0</v>
      </c>
      <c r="E87" s="228">
        <f t="shared" si="5"/>
        <v>7.172570299070798</v>
      </c>
      <c r="F87" s="206">
        <f t="shared" si="6"/>
        <v>0.3732408960332413</v>
      </c>
      <c r="G87" s="207">
        <f t="shared" si="7"/>
        <v>0.3732408960332413</v>
      </c>
      <c r="H87" s="131">
        <v>19.217</v>
      </c>
      <c r="I87" s="139">
        <v>0.0359</v>
      </c>
      <c r="J87" s="140">
        <v>0.032799999999999996</v>
      </c>
      <c r="K87" s="131">
        <f t="shared" si="4"/>
        <v>101.36332583020022</v>
      </c>
      <c r="L87" s="47" t="s">
        <v>46</v>
      </c>
    </row>
    <row r="88" spans="2:12" ht="15">
      <c r="B88" s="40">
        <v>39692</v>
      </c>
      <c r="C88" s="206">
        <v>6.280000000000001</v>
      </c>
      <c r="D88" s="196">
        <v>0</v>
      </c>
      <c r="E88" s="228">
        <f t="shared" si="5"/>
        <v>6.280000000000001</v>
      </c>
      <c r="F88" s="206">
        <f t="shared" si="6"/>
        <v>0.3074813944379162</v>
      </c>
      <c r="G88" s="207">
        <f t="shared" si="7"/>
        <v>0.3074813944379162</v>
      </c>
      <c r="H88" s="131">
        <v>20.424</v>
      </c>
      <c r="I88" s="139">
        <v>0.0356</v>
      </c>
      <c r="J88" s="140">
        <v>0.0331</v>
      </c>
      <c r="K88" s="131">
        <f t="shared" si="4"/>
        <v>88.74945238196183</v>
      </c>
      <c r="L88" s="47" t="s">
        <v>46</v>
      </c>
    </row>
    <row r="89" spans="2:12" ht="15">
      <c r="B89" s="40">
        <v>39722</v>
      </c>
      <c r="C89" s="206">
        <v>5.414483816031456</v>
      </c>
      <c r="D89" s="196">
        <v>0</v>
      </c>
      <c r="E89" s="228">
        <f t="shared" si="5"/>
        <v>5.414483816031456</v>
      </c>
      <c r="F89" s="206">
        <f t="shared" si="6"/>
        <v>0.24200973566492898</v>
      </c>
      <c r="G89" s="207">
        <f t="shared" si="7"/>
        <v>0.24200973566492898</v>
      </c>
      <c r="H89" s="131">
        <v>22.373</v>
      </c>
      <c r="I89" s="139">
        <v>0.035699999999999996</v>
      </c>
      <c r="J89" s="140">
        <v>0.0325</v>
      </c>
      <c r="K89" s="131">
        <f t="shared" si="4"/>
        <v>77.07889155299172</v>
      </c>
      <c r="L89" s="47" t="s">
        <v>46</v>
      </c>
    </row>
    <row r="90" spans="2:12" ht="15">
      <c r="B90" s="40">
        <v>39753</v>
      </c>
      <c r="C90" s="206">
        <v>4.934094156734846</v>
      </c>
      <c r="D90" s="196">
        <v>0</v>
      </c>
      <c r="E90" s="228">
        <f t="shared" si="5"/>
        <v>4.934094156734846</v>
      </c>
      <c r="F90" s="206">
        <f t="shared" si="6"/>
        <v>0.20830388638218628</v>
      </c>
      <c r="G90" s="207">
        <f t="shared" si="7"/>
        <v>0.20830388638218628</v>
      </c>
      <c r="H90" s="131">
        <v>23.687</v>
      </c>
      <c r="I90" s="139">
        <v>0.0348</v>
      </c>
      <c r="J90" s="140">
        <v>0.030699999999999998</v>
      </c>
      <c r="K90" s="131">
        <f t="shared" si="4"/>
        <v>73.13561338078775</v>
      </c>
      <c r="L90" s="47" t="s">
        <v>46</v>
      </c>
    </row>
    <row r="91" spans="1:17" ht="15">
      <c r="A91" s="23"/>
      <c r="B91" s="125">
        <v>39783</v>
      </c>
      <c r="C91" s="208">
        <v>4.76</v>
      </c>
      <c r="D91" s="209">
        <v>0</v>
      </c>
      <c r="E91" s="229">
        <f t="shared" si="5"/>
        <v>4.76</v>
      </c>
      <c r="F91" s="208">
        <f t="shared" si="6"/>
        <v>0.1954584650761713</v>
      </c>
      <c r="G91" s="210">
        <f t="shared" si="7"/>
        <v>0.1954584650761713</v>
      </c>
      <c r="H91" s="132">
        <v>24.353</v>
      </c>
      <c r="I91" s="141">
        <v>0.035699999999999996</v>
      </c>
      <c r="J91" s="142">
        <v>0.0302</v>
      </c>
      <c r="K91" s="132">
        <f t="shared" si="4"/>
        <v>70.12684709106176</v>
      </c>
      <c r="L91" s="48" t="s">
        <v>46</v>
      </c>
      <c r="Q91" s="24"/>
    </row>
    <row r="92" spans="2:12" ht="15">
      <c r="B92" s="40">
        <v>39814</v>
      </c>
      <c r="C92" s="206">
        <v>4.61</v>
      </c>
      <c r="D92" s="196">
        <v>0</v>
      </c>
      <c r="E92" s="228">
        <f t="shared" si="5"/>
        <v>4.61</v>
      </c>
      <c r="F92" s="206">
        <f t="shared" si="6"/>
        <v>0.19793902962644913</v>
      </c>
      <c r="G92" s="207">
        <f t="shared" si="7"/>
        <v>0.19793902962644913</v>
      </c>
      <c r="H92" s="131">
        <v>23.29</v>
      </c>
      <c r="I92" s="139">
        <v>0.0361</v>
      </c>
      <c r="J92" s="140">
        <v>0.030600000000000002</v>
      </c>
      <c r="K92" s="131">
        <f t="shared" si="4"/>
        <v>67.10237114452482</v>
      </c>
      <c r="L92" s="47" t="s">
        <v>47</v>
      </c>
    </row>
    <row r="93" spans="2:12" ht="15">
      <c r="B93" s="40">
        <v>39845</v>
      </c>
      <c r="C93" s="206">
        <v>4.75</v>
      </c>
      <c r="D93" s="196">
        <v>0</v>
      </c>
      <c r="E93" s="228">
        <f t="shared" si="5"/>
        <v>4.75</v>
      </c>
      <c r="F93" s="206">
        <f t="shared" si="6"/>
        <v>0.20430107526881722</v>
      </c>
      <c r="G93" s="207">
        <f t="shared" si="7"/>
        <v>0.20430107526881722</v>
      </c>
      <c r="H93" s="131">
        <v>23.25</v>
      </c>
      <c r="I93" s="139">
        <v>0.037200000000000004</v>
      </c>
      <c r="J93" s="140">
        <v>0.0315</v>
      </c>
      <c r="K93" s="131">
        <f t="shared" si="4"/>
        <v>67.12737242266219</v>
      </c>
      <c r="L93" s="47" t="s">
        <v>47</v>
      </c>
    </row>
    <row r="94" spans="2:12" ht="15">
      <c r="B94" s="40">
        <v>39873</v>
      </c>
      <c r="C94" s="206">
        <v>4.84</v>
      </c>
      <c r="D94" s="196">
        <v>0</v>
      </c>
      <c r="E94" s="228">
        <f t="shared" si="5"/>
        <v>4.84</v>
      </c>
      <c r="F94" s="206">
        <f t="shared" si="6"/>
        <v>0.20183486238532108</v>
      </c>
      <c r="G94" s="207">
        <f t="shared" si="7"/>
        <v>0.20183486238532108</v>
      </c>
      <c r="H94" s="131">
        <v>23.98</v>
      </c>
      <c r="I94" s="139">
        <v>0.0379</v>
      </c>
      <c r="J94" s="140">
        <v>0.0326</v>
      </c>
      <c r="K94" s="131">
        <f t="shared" si="4"/>
        <v>66.65289540728499</v>
      </c>
      <c r="L94" s="47" t="s">
        <v>47</v>
      </c>
    </row>
    <row r="95" spans="2:12" ht="15">
      <c r="B95" s="40">
        <v>39904</v>
      </c>
      <c r="C95" s="206">
        <v>4.87</v>
      </c>
      <c r="D95" s="196">
        <v>0</v>
      </c>
      <c r="E95" s="228">
        <f t="shared" si="5"/>
        <v>4.87</v>
      </c>
      <c r="F95" s="206">
        <f t="shared" si="6"/>
        <v>0.20262117744955274</v>
      </c>
      <c r="G95" s="207">
        <f t="shared" si="7"/>
        <v>0.20262117744955274</v>
      </c>
      <c r="H95" s="131">
        <v>24.035</v>
      </c>
      <c r="I95" s="139">
        <v>0.0383</v>
      </c>
      <c r="J95" s="140">
        <v>0.0327</v>
      </c>
      <c r="K95" s="131">
        <f t="shared" si="4"/>
        <v>66.59373718036373</v>
      </c>
      <c r="L95" s="47" t="s">
        <v>47</v>
      </c>
    </row>
    <row r="96" spans="2:12" ht="15">
      <c r="B96" s="40">
        <v>39934</v>
      </c>
      <c r="C96" s="206">
        <v>5.134344926957425</v>
      </c>
      <c r="D96" s="196">
        <v>0</v>
      </c>
      <c r="E96" s="228">
        <f t="shared" si="5"/>
        <v>5.134344926957425</v>
      </c>
      <c r="F96" s="206">
        <f t="shared" si="6"/>
        <v>0.21668474053418127</v>
      </c>
      <c r="G96" s="207">
        <f t="shared" si="7"/>
        <v>0.21668474053418127</v>
      </c>
      <c r="H96" s="131">
        <v>23.695</v>
      </c>
      <c r="I96" s="139">
        <v>0.0381</v>
      </c>
      <c r="J96" s="140">
        <v>0.032400000000000005</v>
      </c>
      <c r="K96" s="131">
        <f t="shared" si="4"/>
        <v>70.70639574409454</v>
      </c>
      <c r="L96" s="47" t="s">
        <v>47</v>
      </c>
    </row>
    <row r="97" spans="2:12" ht="15">
      <c r="B97" s="40">
        <v>39965</v>
      </c>
      <c r="C97" s="206">
        <v>5.229820750304147</v>
      </c>
      <c r="D97" s="196">
        <v>0</v>
      </c>
      <c r="E97" s="228">
        <f t="shared" si="5"/>
        <v>5.229820750304147</v>
      </c>
      <c r="F97" s="206">
        <f t="shared" si="6"/>
        <v>0.22358260657108064</v>
      </c>
      <c r="G97" s="207">
        <f t="shared" si="7"/>
        <v>0.22358260657108064</v>
      </c>
      <c r="H97" s="131">
        <v>23.391</v>
      </c>
      <c r="I97" s="139">
        <v>0.0384</v>
      </c>
      <c r="J97" s="140">
        <v>0.0326</v>
      </c>
      <c r="K97" s="131">
        <f t="shared" si="4"/>
        <v>71.51402639551685</v>
      </c>
      <c r="L97" s="47" t="s">
        <v>47</v>
      </c>
    </row>
    <row r="98" spans="2:12" ht="15">
      <c r="B98" s="40">
        <v>39995</v>
      </c>
      <c r="C98" s="206">
        <v>5.202123269449806</v>
      </c>
      <c r="D98" s="196">
        <v>0</v>
      </c>
      <c r="E98" s="228">
        <f t="shared" si="5"/>
        <v>5.202123269449806</v>
      </c>
      <c r="F98" s="206">
        <f t="shared" si="6"/>
        <v>0.2223604731545119</v>
      </c>
      <c r="G98" s="207">
        <f t="shared" si="7"/>
        <v>0.2223604731545119</v>
      </c>
      <c r="H98" s="131">
        <v>23.395</v>
      </c>
      <c r="I98" s="139">
        <v>0.0382</v>
      </c>
      <c r="J98" s="140">
        <v>0.0322</v>
      </c>
      <c r="K98" s="131">
        <f t="shared" si="4"/>
        <v>71.74154994276543</v>
      </c>
      <c r="L98" s="47" t="s">
        <v>47</v>
      </c>
    </row>
    <row r="99" spans="2:12" ht="15">
      <c r="B99" s="40">
        <v>40026</v>
      </c>
      <c r="C99" s="206">
        <v>4.95</v>
      </c>
      <c r="D99" s="196">
        <v>0</v>
      </c>
      <c r="E99" s="228">
        <f t="shared" si="5"/>
        <v>4.95</v>
      </c>
      <c r="F99" s="206">
        <f t="shared" si="6"/>
        <v>0.2166112375284439</v>
      </c>
      <c r="G99" s="207">
        <f t="shared" si="7"/>
        <v>0.2166112375284439</v>
      </c>
      <c r="H99" s="131">
        <v>22.852</v>
      </c>
      <c r="I99" s="139">
        <v>0.036699999999999997</v>
      </c>
      <c r="J99" s="140">
        <v>0.0326</v>
      </c>
      <c r="K99" s="131">
        <f t="shared" si="4"/>
        <v>69.34812760055479</v>
      </c>
      <c r="L99" s="47" t="s">
        <v>47</v>
      </c>
    </row>
    <row r="100" spans="2:12" ht="15">
      <c r="B100" s="40">
        <v>40057</v>
      </c>
      <c r="C100" s="206">
        <v>5.04</v>
      </c>
      <c r="D100" s="196">
        <v>0</v>
      </c>
      <c r="E100" s="228">
        <f t="shared" si="5"/>
        <v>5.04</v>
      </c>
      <c r="F100" s="206">
        <f t="shared" si="6"/>
        <v>0.22969647251845776</v>
      </c>
      <c r="G100" s="207">
        <f t="shared" si="7"/>
        <v>0.22969647251845776</v>
      </c>
      <c r="H100" s="131">
        <v>21.942</v>
      </c>
      <c r="I100" s="139">
        <v>0.0365</v>
      </c>
      <c r="J100" s="140">
        <v>0.032799999999999996</v>
      </c>
      <c r="K100" s="131">
        <f t="shared" si="4"/>
        <v>70.6090026478376</v>
      </c>
      <c r="L100" s="47" t="s">
        <v>47</v>
      </c>
    </row>
    <row r="101" spans="2:12" ht="15">
      <c r="B101" s="40">
        <v>40087</v>
      </c>
      <c r="C101" s="206">
        <v>5.070515052017154</v>
      </c>
      <c r="D101" s="196">
        <v>0</v>
      </c>
      <c r="E101" s="228">
        <f t="shared" si="5"/>
        <v>5.070515052017154</v>
      </c>
      <c r="F101" s="206">
        <f t="shared" si="6"/>
        <v>0.24354058847344637</v>
      </c>
      <c r="G101" s="207">
        <f t="shared" si="7"/>
        <v>0.24354058847344637</v>
      </c>
      <c r="H101" s="131">
        <v>20.82</v>
      </c>
      <c r="I101" s="139">
        <v>0.0364</v>
      </c>
      <c r="J101" s="140">
        <v>0.032799999999999996</v>
      </c>
      <c r="K101" s="131">
        <f t="shared" si="4"/>
        <v>71.13916398250679</v>
      </c>
      <c r="L101" s="47" t="s">
        <v>47</v>
      </c>
    </row>
    <row r="102" spans="2:12" ht="15">
      <c r="B102" s="40">
        <v>40118</v>
      </c>
      <c r="C102" s="206">
        <v>5.84</v>
      </c>
      <c r="D102" s="196">
        <v>0</v>
      </c>
      <c r="E102" s="228">
        <f t="shared" si="5"/>
        <v>5.84</v>
      </c>
      <c r="F102" s="206">
        <f t="shared" si="6"/>
        <v>0.2854210449147158</v>
      </c>
      <c r="G102" s="207">
        <f t="shared" si="7"/>
        <v>0.2854210449147158</v>
      </c>
      <c r="H102" s="131">
        <v>20.461</v>
      </c>
      <c r="I102" s="139">
        <v>0.0359</v>
      </c>
      <c r="J102" s="140">
        <v>0.0319</v>
      </c>
      <c r="K102" s="131">
        <f t="shared" si="4"/>
        <v>83.62688661683421</v>
      </c>
      <c r="L102" s="47" t="s">
        <v>47</v>
      </c>
    </row>
    <row r="103" spans="1:17" ht="15">
      <c r="A103" s="23"/>
      <c r="B103" s="40">
        <v>40148</v>
      </c>
      <c r="C103" s="206">
        <v>5.52</v>
      </c>
      <c r="D103" s="196">
        <v>0</v>
      </c>
      <c r="E103" s="228">
        <f t="shared" si="5"/>
        <v>5.52</v>
      </c>
      <c r="F103" s="206">
        <f t="shared" si="6"/>
        <v>0.2801603816677663</v>
      </c>
      <c r="G103" s="207">
        <f t="shared" si="7"/>
        <v>0.2801603816677663</v>
      </c>
      <c r="H103" s="131">
        <v>19.703</v>
      </c>
      <c r="I103" s="139">
        <v>0.0356</v>
      </c>
      <c r="J103" s="140">
        <v>0.0315</v>
      </c>
      <c r="K103" s="131">
        <f t="shared" si="4"/>
        <v>79.86919971640647</v>
      </c>
      <c r="L103" s="47" t="s">
        <v>47</v>
      </c>
      <c r="Q103" s="24"/>
    </row>
    <row r="104" spans="2:12" ht="15">
      <c r="B104" s="35">
        <v>40179</v>
      </c>
      <c r="C104" s="211">
        <v>5.559019418461234</v>
      </c>
      <c r="D104" s="212">
        <v>0</v>
      </c>
      <c r="E104" s="230">
        <f t="shared" si="5"/>
        <v>5.559019418461234</v>
      </c>
      <c r="F104" s="211">
        <f t="shared" si="6"/>
        <v>0.28384066471591696</v>
      </c>
      <c r="G104" s="213">
        <f t="shared" si="7"/>
        <v>0.28384066471591696</v>
      </c>
      <c r="H104" s="130">
        <v>19.585</v>
      </c>
      <c r="I104" s="137">
        <v>0.0366</v>
      </c>
      <c r="J104" s="138">
        <v>0.031400000000000004</v>
      </c>
      <c r="K104" s="130">
        <f t="shared" si="4"/>
        <v>79.36920928699648</v>
      </c>
      <c r="L104" s="46" t="s">
        <v>48</v>
      </c>
    </row>
    <row r="105" spans="2:12" ht="15">
      <c r="B105" s="40">
        <v>40210</v>
      </c>
      <c r="C105" s="206">
        <v>5.97</v>
      </c>
      <c r="D105" s="196">
        <v>0</v>
      </c>
      <c r="E105" s="228">
        <f t="shared" si="5"/>
        <v>5.97</v>
      </c>
      <c r="F105" s="206">
        <f t="shared" si="6"/>
        <v>0.3020337954062532</v>
      </c>
      <c r="G105" s="207">
        <f t="shared" si="7"/>
        <v>0.3020337954062532</v>
      </c>
      <c r="H105" s="131">
        <v>19.766</v>
      </c>
      <c r="I105" s="139">
        <v>0.037599999999999995</v>
      </c>
      <c r="J105" s="140">
        <v>0.0318</v>
      </c>
      <c r="K105" s="131">
        <f t="shared" si="4"/>
        <v>83.5175288883915</v>
      </c>
      <c r="L105" s="47" t="s">
        <v>48</v>
      </c>
    </row>
    <row r="106" spans="2:12" ht="15">
      <c r="B106" s="40">
        <v>40238</v>
      </c>
      <c r="C106" s="206">
        <v>6.31</v>
      </c>
      <c r="D106" s="196">
        <v>0</v>
      </c>
      <c r="E106" s="228">
        <f t="shared" si="5"/>
        <v>6.31</v>
      </c>
      <c r="F106" s="206">
        <f t="shared" si="6"/>
        <v>0.32179101433015445</v>
      </c>
      <c r="G106" s="207">
        <f t="shared" si="7"/>
        <v>0.32179101433015445</v>
      </c>
      <c r="H106" s="131">
        <v>19.609</v>
      </c>
      <c r="I106" s="139">
        <v>0.0381</v>
      </c>
      <c r="J106" s="140">
        <v>0.0329</v>
      </c>
      <c r="K106" s="131">
        <f t="shared" si="4"/>
        <v>86.28469848215505</v>
      </c>
      <c r="L106" s="47" t="s">
        <v>48</v>
      </c>
    </row>
    <row r="107" spans="2:12" ht="15">
      <c r="B107" s="40">
        <v>40269</v>
      </c>
      <c r="C107" s="206">
        <v>6.53</v>
      </c>
      <c r="D107" s="196">
        <v>0</v>
      </c>
      <c r="E107" s="228">
        <f t="shared" si="5"/>
        <v>6.53</v>
      </c>
      <c r="F107" s="206">
        <f t="shared" si="6"/>
        <v>0.3374677002583979</v>
      </c>
      <c r="G107" s="207">
        <f t="shared" si="7"/>
        <v>0.3374677002583979</v>
      </c>
      <c r="H107" s="131">
        <v>19.35</v>
      </c>
      <c r="I107" s="139">
        <v>0.0387</v>
      </c>
      <c r="J107" s="140">
        <v>0.0333</v>
      </c>
      <c r="K107" s="131">
        <f t="shared" si="4"/>
        <v>88.05285868392664</v>
      </c>
      <c r="L107" s="47" t="s">
        <v>48</v>
      </c>
    </row>
    <row r="108" spans="2:12" ht="15">
      <c r="B108" s="40">
        <v>40299</v>
      </c>
      <c r="C108" s="206">
        <v>6.55</v>
      </c>
      <c r="D108" s="196">
        <v>0</v>
      </c>
      <c r="E108" s="228">
        <f t="shared" si="5"/>
        <v>6.55</v>
      </c>
      <c r="F108" s="206">
        <f t="shared" si="6"/>
        <v>0.34004776243380747</v>
      </c>
      <c r="G108" s="207">
        <f t="shared" si="7"/>
        <v>0.34004776243380747</v>
      </c>
      <c r="H108" s="131">
        <v>19.262</v>
      </c>
      <c r="I108" s="139">
        <v>0.0381</v>
      </c>
      <c r="J108" s="140">
        <v>0.0334</v>
      </c>
      <c r="K108" s="131">
        <f t="shared" si="4"/>
        <v>88.94018602756465</v>
      </c>
      <c r="L108" s="47" t="s">
        <v>48</v>
      </c>
    </row>
    <row r="109" spans="2:12" ht="15">
      <c r="B109" s="40">
        <v>40330</v>
      </c>
      <c r="C109" s="206">
        <v>6.51</v>
      </c>
      <c r="D109" s="196">
        <v>0</v>
      </c>
      <c r="E109" s="228">
        <f t="shared" si="5"/>
        <v>6.51</v>
      </c>
      <c r="F109" s="206">
        <f t="shared" si="6"/>
        <v>0.31825959423123934</v>
      </c>
      <c r="G109" s="207">
        <f t="shared" si="7"/>
        <v>0.31825959423123934</v>
      </c>
      <c r="H109" s="131">
        <v>20.455</v>
      </c>
      <c r="I109" s="139">
        <v>0.038</v>
      </c>
      <c r="J109" s="140">
        <v>0.0331</v>
      </c>
      <c r="K109" s="131">
        <f t="shared" si="4"/>
        <v>88.89435090737781</v>
      </c>
      <c r="L109" s="47" t="s">
        <v>48</v>
      </c>
    </row>
    <row r="110" spans="2:12" ht="15">
      <c r="B110" s="40">
        <v>40360</v>
      </c>
      <c r="C110" s="206">
        <v>6.51</v>
      </c>
      <c r="D110" s="196">
        <v>0</v>
      </c>
      <c r="E110" s="228">
        <f t="shared" si="5"/>
        <v>6.51</v>
      </c>
      <c r="F110" s="206">
        <f t="shared" si="6"/>
        <v>0.3086478285605917</v>
      </c>
      <c r="G110" s="207">
        <f t="shared" si="7"/>
        <v>0.3086478285605917</v>
      </c>
      <c r="H110" s="131">
        <v>21.092</v>
      </c>
      <c r="I110" s="139">
        <v>0.0373</v>
      </c>
      <c r="J110" s="140">
        <v>0.0327</v>
      </c>
      <c r="K110" s="131">
        <f t="shared" si="4"/>
        <v>90.29126213592231</v>
      </c>
      <c r="L110" s="47" t="s">
        <v>48</v>
      </c>
    </row>
    <row r="111" spans="2:12" ht="15">
      <c r="B111" s="40">
        <v>40391</v>
      </c>
      <c r="C111" s="206">
        <v>6.61</v>
      </c>
      <c r="D111" s="196">
        <v>0</v>
      </c>
      <c r="E111" s="228">
        <f t="shared" si="5"/>
        <v>6.61</v>
      </c>
      <c r="F111" s="206">
        <f t="shared" si="6"/>
        <v>0.3168895920226281</v>
      </c>
      <c r="G111" s="207">
        <f t="shared" si="7"/>
        <v>0.3168895920226281</v>
      </c>
      <c r="H111" s="131">
        <v>20.859</v>
      </c>
      <c r="I111" s="139">
        <v>0.0365</v>
      </c>
      <c r="J111" s="140">
        <v>0.032799999999999996</v>
      </c>
      <c r="K111" s="131">
        <f t="shared" si="4"/>
        <v>92.60426736154892</v>
      </c>
      <c r="L111" s="47" t="s">
        <v>48</v>
      </c>
    </row>
    <row r="112" spans="2:12" ht="15">
      <c r="B112" s="40">
        <v>40422</v>
      </c>
      <c r="C112" s="206">
        <v>6.51</v>
      </c>
      <c r="D112" s="196">
        <v>0</v>
      </c>
      <c r="E112" s="228">
        <f t="shared" si="5"/>
        <v>6.51</v>
      </c>
      <c r="F112" s="206">
        <f t="shared" si="6"/>
        <v>0.31663424124513617</v>
      </c>
      <c r="G112" s="207">
        <f t="shared" si="7"/>
        <v>0.31663424124513617</v>
      </c>
      <c r="H112" s="131">
        <v>20.56</v>
      </c>
      <c r="I112" s="139">
        <v>0.0358</v>
      </c>
      <c r="J112" s="140">
        <v>0.0331</v>
      </c>
      <c r="K112" s="131">
        <f t="shared" si="4"/>
        <v>91.73277720630716</v>
      </c>
      <c r="L112" s="47" t="s">
        <v>48</v>
      </c>
    </row>
    <row r="113" spans="2:12" ht="15">
      <c r="B113" s="40">
        <v>40452</v>
      </c>
      <c r="C113" s="206">
        <v>6.58</v>
      </c>
      <c r="D113" s="196">
        <v>0</v>
      </c>
      <c r="E113" s="228">
        <f t="shared" si="5"/>
        <v>6.58</v>
      </c>
      <c r="F113" s="206">
        <f t="shared" si="6"/>
        <v>0.3255008656937917</v>
      </c>
      <c r="G113" s="207">
        <f t="shared" si="7"/>
        <v>0.3255008656937917</v>
      </c>
      <c r="H113" s="131">
        <v>20.215</v>
      </c>
      <c r="I113" s="139">
        <v>0.0352</v>
      </c>
      <c r="J113" s="140">
        <v>0.0331</v>
      </c>
      <c r="K113" s="131">
        <f t="shared" si="4"/>
        <v>93.53366785597521</v>
      </c>
      <c r="L113" s="47" t="s">
        <v>48</v>
      </c>
    </row>
    <row r="114" spans="2:12" ht="15">
      <c r="B114" s="40">
        <v>40483</v>
      </c>
      <c r="C114" s="206">
        <v>6.5</v>
      </c>
      <c r="D114" s="196">
        <v>0</v>
      </c>
      <c r="E114" s="228">
        <f t="shared" si="5"/>
        <v>6.5</v>
      </c>
      <c r="F114" s="206">
        <f t="shared" si="6"/>
        <v>0.32560236437409207</v>
      </c>
      <c r="G114" s="207">
        <f t="shared" si="7"/>
        <v>0.32560236437409207</v>
      </c>
      <c r="H114" s="131">
        <v>19.963</v>
      </c>
      <c r="I114" s="139">
        <v>0.0354</v>
      </c>
      <c r="J114" s="140">
        <v>0.0323</v>
      </c>
      <c r="K114" s="131">
        <f t="shared" si="4"/>
        <v>93.21535615436461</v>
      </c>
      <c r="L114" s="47" t="s">
        <v>48</v>
      </c>
    </row>
    <row r="115" spans="1:17" ht="15">
      <c r="A115" s="23"/>
      <c r="B115" s="125">
        <v>40513</v>
      </c>
      <c r="C115" s="208">
        <v>6.82</v>
      </c>
      <c r="D115" s="209">
        <v>0</v>
      </c>
      <c r="E115" s="229">
        <f t="shared" si="5"/>
        <v>6.82</v>
      </c>
      <c r="F115" s="208">
        <f t="shared" si="6"/>
        <v>0.3414267834793492</v>
      </c>
      <c r="G115" s="210">
        <f t="shared" si="7"/>
        <v>0.3414267834793492</v>
      </c>
      <c r="H115" s="132">
        <v>19.975</v>
      </c>
      <c r="I115" s="141">
        <v>0.0356</v>
      </c>
      <c r="J115" s="142">
        <v>0.0317</v>
      </c>
      <c r="K115" s="132">
        <f t="shared" si="4"/>
        <v>98.38572397178262</v>
      </c>
      <c r="L115" s="48" t="s">
        <v>48</v>
      </c>
      <c r="Q115" s="24"/>
    </row>
    <row r="116" spans="2:12" ht="15">
      <c r="B116" s="40">
        <v>40544</v>
      </c>
      <c r="C116" s="206">
        <v>7.18</v>
      </c>
      <c r="D116" s="196">
        <v>0</v>
      </c>
      <c r="E116" s="228">
        <f t="shared" si="5"/>
        <v>7.18</v>
      </c>
      <c r="F116" s="206">
        <f t="shared" si="6"/>
        <v>0.3614943107441345</v>
      </c>
      <c r="G116" s="207">
        <f t="shared" si="7"/>
        <v>0.3614943107441345</v>
      </c>
      <c r="H116" s="131">
        <v>19.862</v>
      </c>
      <c r="I116" s="137">
        <v>0.036</v>
      </c>
      <c r="J116" s="138">
        <v>0.0315</v>
      </c>
      <c r="K116" s="131">
        <f t="shared" si="4"/>
        <v>103.27220424307802</v>
      </c>
      <c r="L116" s="47" t="s">
        <v>49</v>
      </c>
    </row>
    <row r="117" spans="2:12" ht="15">
      <c r="B117" s="40">
        <v>40575</v>
      </c>
      <c r="C117" s="206">
        <v>7.66</v>
      </c>
      <c r="D117" s="196">
        <v>0</v>
      </c>
      <c r="E117" s="228">
        <f t="shared" si="5"/>
        <v>7.66</v>
      </c>
      <c r="F117" s="206">
        <f t="shared" si="6"/>
        <v>0.3911356209150327</v>
      </c>
      <c r="G117" s="207">
        <f t="shared" si="7"/>
        <v>0.3911356209150327</v>
      </c>
      <c r="H117" s="131">
        <v>19.584</v>
      </c>
      <c r="I117" s="139">
        <v>0.0371</v>
      </c>
      <c r="J117" s="140">
        <v>0.0323</v>
      </c>
      <c r="K117" s="131">
        <f t="shared" si="4"/>
        <v>107.1598444363616</v>
      </c>
      <c r="L117" s="47" t="s">
        <v>49</v>
      </c>
    </row>
    <row r="118" spans="2:12" ht="15">
      <c r="B118" s="40">
        <v>40603</v>
      </c>
      <c r="C118" s="206">
        <v>8.2</v>
      </c>
      <c r="D118" s="196">
        <v>0</v>
      </c>
      <c r="E118" s="228">
        <f t="shared" si="5"/>
        <v>8.2</v>
      </c>
      <c r="F118" s="206">
        <f t="shared" si="6"/>
        <v>0.42412330609289334</v>
      </c>
      <c r="G118" s="207">
        <f t="shared" si="7"/>
        <v>0.42412330609289334</v>
      </c>
      <c r="H118" s="131">
        <v>19.334</v>
      </c>
      <c r="I118" s="139">
        <v>0.0384</v>
      </c>
      <c r="J118" s="140">
        <v>0.0333</v>
      </c>
      <c r="K118" s="131">
        <f t="shared" si="4"/>
        <v>111.03438003547683</v>
      </c>
      <c r="L118" s="47" t="s">
        <v>49</v>
      </c>
    </row>
    <row r="119" spans="2:12" ht="15">
      <c r="B119" s="40">
        <v>40634</v>
      </c>
      <c r="C119" s="206">
        <v>8.31</v>
      </c>
      <c r="D119" s="196">
        <v>0</v>
      </c>
      <c r="E119" s="228">
        <f t="shared" si="5"/>
        <v>8.31</v>
      </c>
      <c r="F119" s="206">
        <f t="shared" si="6"/>
        <v>0.4373223871171456</v>
      </c>
      <c r="G119" s="207">
        <f t="shared" si="7"/>
        <v>0.4373223871171456</v>
      </c>
      <c r="H119" s="131">
        <v>19.002</v>
      </c>
      <c r="I119" s="139">
        <v>0.039</v>
      </c>
      <c r="J119" s="140">
        <v>0.0336</v>
      </c>
      <c r="K119" s="131">
        <f t="shared" si="4"/>
        <v>111.12894166733533</v>
      </c>
      <c r="L119" s="47" t="s">
        <v>49</v>
      </c>
    </row>
    <row r="120" spans="2:12" ht="15">
      <c r="B120" s="40">
        <v>40664</v>
      </c>
      <c r="C120" s="206">
        <v>8.38</v>
      </c>
      <c r="D120" s="196">
        <v>0</v>
      </c>
      <c r="E120" s="228">
        <f t="shared" si="5"/>
        <v>8.38</v>
      </c>
      <c r="F120" s="206">
        <f t="shared" si="6"/>
        <v>0.44449159284994433</v>
      </c>
      <c r="G120" s="207">
        <f t="shared" si="7"/>
        <v>0.44449159284994433</v>
      </c>
      <c r="H120" s="131">
        <v>18.853</v>
      </c>
      <c r="I120" s="139">
        <v>0.0387</v>
      </c>
      <c r="J120" s="140">
        <v>0.034</v>
      </c>
      <c r="K120" s="131">
        <f t="shared" si="4"/>
        <v>111.91089862581964</v>
      </c>
      <c r="L120" s="47" t="s">
        <v>49</v>
      </c>
    </row>
    <row r="121" spans="2:12" ht="15">
      <c r="B121" s="40">
        <v>40695</v>
      </c>
      <c r="C121" s="206">
        <v>8.34</v>
      </c>
      <c r="D121" s="196">
        <v>0</v>
      </c>
      <c r="E121" s="228">
        <f t="shared" si="5"/>
        <v>8.34</v>
      </c>
      <c r="F121" s="206">
        <f t="shared" si="6"/>
        <v>0.45008094981111707</v>
      </c>
      <c r="G121" s="207">
        <f t="shared" si="7"/>
        <v>0.45008094981111707</v>
      </c>
      <c r="H121" s="131">
        <v>18.53</v>
      </c>
      <c r="I121" s="139">
        <v>0.0382</v>
      </c>
      <c r="J121" s="140">
        <v>0.0338</v>
      </c>
      <c r="K121" s="131">
        <f t="shared" si="4"/>
        <v>112.45954692556634</v>
      </c>
      <c r="L121" s="47" t="s">
        <v>49</v>
      </c>
    </row>
    <row r="122" spans="2:12" ht="15">
      <c r="B122" s="40">
        <v>40725</v>
      </c>
      <c r="C122" s="206">
        <v>8.25</v>
      </c>
      <c r="D122" s="196">
        <v>0</v>
      </c>
      <c r="E122" s="228">
        <f t="shared" si="5"/>
        <v>8.25</v>
      </c>
      <c r="F122" s="206">
        <f t="shared" si="6"/>
        <v>0.4469848837839302</v>
      </c>
      <c r="G122" s="207">
        <f t="shared" si="7"/>
        <v>0.4469848837839302</v>
      </c>
      <c r="H122" s="131">
        <v>18.457</v>
      </c>
      <c r="I122" s="139">
        <v>0.0377</v>
      </c>
      <c r="J122" s="140">
        <v>0.0336</v>
      </c>
      <c r="K122" s="131">
        <f t="shared" si="4"/>
        <v>112.33813096583557</v>
      </c>
      <c r="L122" s="47" t="s">
        <v>49</v>
      </c>
    </row>
    <row r="123" spans="2:12" ht="15">
      <c r="B123" s="40">
        <v>40756</v>
      </c>
      <c r="C123" s="206">
        <v>7.95</v>
      </c>
      <c r="D123" s="196">
        <v>0</v>
      </c>
      <c r="E123" s="228">
        <f t="shared" si="5"/>
        <v>7.95</v>
      </c>
      <c r="F123" s="206">
        <f t="shared" si="6"/>
        <v>0.4236836495416756</v>
      </c>
      <c r="G123" s="207">
        <f t="shared" si="7"/>
        <v>0.4236836495416756</v>
      </c>
      <c r="H123" s="131">
        <v>18.764</v>
      </c>
      <c r="I123" s="139">
        <v>0.0373</v>
      </c>
      <c r="J123" s="140">
        <v>0.0336</v>
      </c>
      <c r="K123" s="131">
        <f t="shared" si="4"/>
        <v>108.86384487929124</v>
      </c>
      <c r="L123" s="47" t="s">
        <v>49</v>
      </c>
    </row>
    <row r="124" spans="2:12" ht="15">
      <c r="B124" s="40">
        <v>40787</v>
      </c>
      <c r="C124" s="206">
        <v>7.81</v>
      </c>
      <c r="D124" s="196">
        <v>0</v>
      </c>
      <c r="E124" s="228">
        <f t="shared" si="5"/>
        <v>7.81</v>
      </c>
      <c r="F124" s="206">
        <f t="shared" si="6"/>
        <v>0.3990190568640474</v>
      </c>
      <c r="G124" s="207">
        <f t="shared" si="7"/>
        <v>0.3990190568640474</v>
      </c>
      <c r="H124" s="131">
        <v>19.573</v>
      </c>
      <c r="I124" s="139">
        <v>0.0363</v>
      </c>
      <c r="J124" s="140">
        <v>0.0337</v>
      </c>
      <c r="K124" s="131">
        <f t="shared" si="4"/>
        <v>108.32177531206656</v>
      </c>
      <c r="L124" s="47" t="s">
        <v>49</v>
      </c>
    </row>
    <row r="125" spans="2:12" ht="15">
      <c r="B125" s="40">
        <v>40817</v>
      </c>
      <c r="C125" s="206">
        <v>7.68</v>
      </c>
      <c r="D125" s="196">
        <v>0</v>
      </c>
      <c r="E125" s="228">
        <f t="shared" si="5"/>
        <v>7.68</v>
      </c>
      <c r="F125" s="206">
        <f t="shared" si="6"/>
        <v>0.3853487205218264</v>
      </c>
      <c r="G125" s="207">
        <f t="shared" si="7"/>
        <v>0.3853487205218264</v>
      </c>
      <c r="H125" s="131">
        <v>19.93</v>
      </c>
      <c r="I125" s="139">
        <v>0.0362</v>
      </c>
      <c r="J125" s="140">
        <v>0.0331</v>
      </c>
      <c r="K125" s="131">
        <f t="shared" si="4"/>
        <v>107.59467070146681</v>
      </c>
      <c r="L125" s="47" t="s">
        <v>49</v>
      </c>
    </row>
    <row r="126" spans="2:12" ht="15">
      <c r="B126" s="40">
        <v>40848</v>
      </c>
      <c r="C126" s="206">
        <v>7.51</v>
      </c>
      <c r="D126" s="196">
        <v>0</v>
      </c>
      <c r="E126" s="228">
        <f t="shared" si="5"/>
        <v>7.51</v>
      </c>
      <c r="F126" s="206">
        <f t="shared" si="6"/>
        <v>0.37736797145872064</v>
      </c>
      <c r="G126" s="207">
        <f t="shared" si="7"/>
        <v>0.37736797145872064</v>
      </c>
      <c r="H126" s="131">
        <v>19.901</v>
      </c>
      <c r="I126" s="139">
        <v>0.0371</v>
      </c>
      <c r="J126" s="140">
        <v>0.0321</v>
      </c>
      <c r="K126" s="131">
        <f t="shared" si="4"/>
        <v>105.36505976766374</v>
      </c>
      <c r="L126" s="47" t="s">
        <v>49</v>
      </c>
    </row>
    <row r="127" spans="1:17" ht="15">
      <c r="A127" s="23"/>
      <c r="B127" s="40">
        <v>40878</v>
      </c>
      <c r="C127" s="206">
        <v>7.54</v>
      </c>
      <c r="D127" s="196">
        <v>0</v>
      </c>
      <c r="E127" s="228">
        <f t="shared" si="5"/>
        <v>7.54</v>
      </c>
      <c r="F127" s="206">
        <f t="shared" si="6"/>
        <v>0.37756634952428647</v>
      </c>
      <c r="G127" s="207">
        <f t="shared" si="7"/>
        <v>0.37756634952428647</v>
      </c>
      <c r="H127" s="131">
        <v>19.97</v>
      </c>
      <c r="I127" s="141">
        <v>0.0358</v>
      </c>
      <c r="J127" s="142">
        <v>0.0316</v>
      </c>
      <c r="K127" s="131">
        <f t="shared" si="4"/>
        <v>108.61110310852466</v>
      </c>
      <c r="L127" s="47" t="s">
        <v>49</v>
      </c>
      <c r="Q127" s="24"/>
    </row>
    <row r="128" spans="2:12" ht="15">
      <c r="B128" s="35">
        <v>40909</v>
      </c>
      <c r="C128" s="211">
        <v>8.14</v>
      </c>
      <c r="D128" s="212">
        <v>0</v>
      </c>
      <c r="E128" s="230">
        <f t="shared" si="5"/>
        <v>8.14</v>
      </c>
      <c r="F128" s="211">
        <f t="shared" si="6"/>
        <v>0.4147770700636943</v>
      </c>
      <c r="G128" s="213">
        <f t="shared" si="7"/>
        <v>0.4147770700636943</v>
      </c>
      <c r="H128" s="130">
        <v>19.625</v>
      </c>
      <c r="I128" s="143">
        <v>0.03579617477075158</v>
      </c>
      <c r="J128" s="144">
        <v>0.031896710522575145</v>
      </c>
      <c r="K128" s="155">
        <f t="shared" si="4"/>
        <v>116.74657664707793</v>
      </c>
      <c r="L128" s="46" t="s">
        <v>50</v>
      </c>
    </row>
    <row r="129" spans="2:12" ht="15">
      <c r="B129" s="40">
        <v>40940</v>
      </c>
      <c r="C129" s="206">
        <v>7.76</v>
      </c>
      <c r="D129" s="196">
        <v>0</v>
      </c>
      <c r="E129" s="228">
        <f t="shared" si="5"/>
        <v>7.76</v>
      </c>
      <c r="F129" s="206">
        <f t="shared" si="6"/>
        <v>0.39925910681210125</v>
      </c>
      <c r="G129" s="207">
        <f t="shared" si="7"/>
        <v>0.39925910681210125</v>
      </c>
      <c r="H129" s="131">
        <v>19.436</v>
      </c>
      <c r="I129" s="145">
        <v>0.03703761419417095</v>
      </c>
      <c r="J129" s="146">
        <v>0.032413934120294134</v>
      </c>
      <c r="K129" s="156">
        <f t="shared" si="4"/>
        <v>108.47822352946918</v>
      </c>
      <c r="L129" s="47"/>
    </row>
    <row r="130" spans="2:12" ht="15">
      <c r="B130" s="40">
        <v>40969</v>
      </c>
      <c r="C130" s="206">
        <v>8.04</v>
      </c>
      <c r="D130" s="196">
        <v>0</v>
      </c>
      <c r="E130" s="228">
        <f t="shared" si="5"/>
        <v>8.04</v>
      </c>
      <c r="F130" s="206">
        <f t="shared" si="6"/>
        <v>0.41171650962720197</v>
      </c>
      <c r="G130" s="207">
        <f t="shared" si="7"/>
        <v>0.41171650962720197</v>
      </c>
      <c r="H130" s="131">
        <v>19.528</v>
      </c>
      <c r="I130" s="145">
        <v>0.038358175827052025</v>
      </c>
      <c r="J130" s="146">
        <v>0.033607408087325936</v>
      </c>
      <c r="K130" s="156">
        <f t="shared" si="4"/>
        <v>108.4660864004874</v>
      </c>
      <c r="L130" s="47"/>
    </row>
    <row r="131" spans="2:12" ht="15">
      <c r="B131" s="40">
        <v>41000</v>
      </c>
      <c r="C131" s="206">
        <v>8.13</v>
      </c>
      <c r="D131" s="196">
        <v>0</v>
      </c>
      <c r="E131" s="228">
        <f t="shared" si="5"/>
        <v>8.13</v>
      </c>
      <c r="F131" s="206">
        <f t="shared" si="6"/>
        <v>0.4130887658147452</v>
      </c>
      <c r="G131" s="207">
        <f t="shared" si="7"/>
        <v>0.4130887658147452</v>
      </c>
      <c r="H131" s="131">
        <v>19.681</v>
      </c>
      <c r="I131" s="145">
        <v>0.0383347183876869</v>
      </c>
      <c r="J131" s="146">
        <v>0.03392978376806663</v>
      </c>
      <c r="K131" s="156">
        <f t="shared" si="4"/>
        <v>109.22657249451082</v>
      </c>
      <c r="L131" s="47"/>
    </row>
    <row r="132" spans="2:12" ht="15">
      <c r="B132" s="40">
        <v>41030</v>
      </c>
      <c r="C132" s="206">
        <v>8.05</v>
      </c>
      <c r="D132" s="196">
        <v>0</v>
      </c>
      <c r="E132" s="228">
        <f t="shared" si="5"/>
        <v>8.05</v>
      </c>
      <c r="F132" s="206">
        <f t="shared" si="6"/>
        <v>0.39796321929998024</v>
      </c>
      <c r="G132" s="207">
        <f t="shared" si="7"/>
        <v>0.39796321929998024</v>
      </c>
      <c r="H132" s="131">
        <v>20.228</v>
      </c>
      <c r="I132" s="145">
        <v>0.03833987660622968</v>
      </c>
      <c r="J132" s="146">
        <v>0.03394080538232524</v>
      </c>
      <c r="K132" s="156">
        <f t="shared" si="4"/>
        <v>108.12756279499484</v>
      </c>
      <c r="L132" s="47"/>
    </row>
    <row r="133" spans="2:17" ht="15">
      <c r="B133" s="40">
        <v>41061</v>
      </c>
      <c r="C133" s="206">
        <v>7.98</v>
      </c>
      <c r="D133" s="196">
        <v>0</v>
      </c>
      <c r="E133" s="228">
        <f t="shared" si="5"/>
        <v>7.98</v>
      </c>
      <c r="F133" s="206">
        <f t="shared" si="6"/>
        <v>0.3679454075986721</v>
      </c>
      <c r="G133" s="207">
        <f t="shared" si="7"/>
        <v>0.3679454075986721</v>
      </c>
      <c r="H133" s="131">
        <v>21.688</v>
      </c>
      <c r="I133" s="145">
        <v>0.038223088428491446</v>
      </c>
      <c r="J133" s="146">
        <v>0.03406594969796106</v>
      </c>
      <c r="K133" s="156">
        <f t="shared" si="4"/>
        <v>107.1749329681416</v>
      </c>
      <c r="L133" s="47"/>
      <c r="Q133" s="24"/>
    </row>
    <row r="134" spans="2:12" ht="15">
      <c r="B134" s="40">
        <v>41091</v>
      </c>
      <c r="C134" s="206">
        <v>7.83</v>
      </c>
      <c r="D134" s="196">
        <v>0</v>
      </c>
      <c r="E134" s="228">
        <f t="shared" si="5"/>
        <v>7.83</v>
      </c>
      <c r="F134" s="206">
        <f t="shared" si="6"/>
        <v>0.35924022756469076</v>
      </c>
      <c r="G134" s="207">
        <f t="shared" si="7"/>
        <v>0.35924022756469076</v>
      </c>
      <c r="H134" s="131">
        <v>21.796</v>
      </c>
      <c r="I134" s="145">
        <v>0.03767628968919368</v>
      </c>
      <c r="J134" s="146">
        <v>0.0338148862307778</v>
      </c>
      <c r="K134" s="156">
        <f t="shared" si="4"/>
        <v>106.33398667385983</v>
      </c>
      <c r="L134" s="47"/>
    </row>
    <row r="135" spans="2:12" ht="15">
      <c r="B135" s="40">
        <v>41122</v>
      </c>
      <c r="C135" s="206">
        <v>7.23</v>
      </c>
      <c r="D135" s="196">
        <v>0</v>
      </c>
      <c r="E135" s="228">
        <f t="shared" si="5"/>
        <v>7.23</v>
      </c>
      <c r="F135" s="206">
        <f t="shared" si="6"/>
        <v>0.33927733458470205</v>
      </c>
      <c r="G135" s="207">
        <f t="shared" si="7"/>
        <v>0.33927733458470205</v>
      </c>
      <c r="H135" s="131">
        <v>21.31</v>
      </c>
      <c r="I135" s="145">
        <v>0.037198806446450954</v>
      </c>
      <c r="J135" s="146">
        <v>0.03350707310005466</v>
      </c>
      <c r="K135" s="156">
        <f t="shared" si="4"/>
        <v>99.27629103476819</v>
      </c>
      <c r="L135" s="47"/>
    </row>
    <row r="136" spans="2:12" ht="15">
      <c r="B136" s="40">
        <v>41153</v>
      </c>
      <c r="C136" s="206">
        <v>7.22</v>
      </c>
      <c r="D136" s="196">
        <v>0</v>
      </c>
      <c r="E136" s="228">
        <f t="shared" si="5"/>
        <v>7.22</v>
      </c>
      <c r="F136" s="206">
        <f t="shared" si="6"/>
        <v>0.3402771231972853</v>
      </c>
      <c r="G136" s="207">
        <f t="shared" si="7"/>
        <v>0.3402771231972853</v>
      </c>
      <c r="H136" s="131">
        <v>21.218</v>
      </c>
      <c r="I136" s="145">
        <v>0.03639779403166353</v>
      </c>
      <c r="J136" s="146">
        <v>0.03372184591267667</v>
      </c>
      <c r="K136" s="156">
        <f aca="true" t="shared" si="8" ref="K136:K199">C136/1.03/(I136+J136)</f>
        <v>99.96783702010259</v>
      </c>
      <c r="L136" s="47"/>
    </row>
    <row r="137" spans="2:12" ht="15.75" customHeight="1">
      <c r="B137" s="40">
        <v>41183</v>
      </c>
      <c r="C137" s="206">
        <v>7.16</v>
      </c>
      <c r="D137" s="196">
        <v>0</v>
      </c>
      <c r="E137" s="228">
        <f aca="true" t="shared" si="9" ref="E137:E200">C137-D137</f>
        <v>7.16</v>
      </c>
      <c r="F137" s="206">
        <f aca="true" t="shared" si="10" ref="F137:F200">C137/H137</f>
        <v>0.35561736366345487</v>
      </c>
      <c r="G137" s="207">
        <f aca="true" t="shared" si="11" ref="G137:G200">E137/H137</f>
        <v>0.35561736366345487</v>
      </c>
      <c r="H137" s="131">
        <v>20.134</v>
      </c>
      <c r="I137" s="145">
        <v>0.036648371358422034</v>
      </c>
      <c r="J137" s="146">
        <v>0.033212087648075775</v>
      </c>
      <c r="K137" s="156">
        <f t="shared" si="8"/>
        <v>99.50487599906904</v>
      </c>
      <c r="L137" s="47"/>
    </row>
    <row r="138" spans="2:12" ht="15">
      <c r="B138" s="40">
        <v>41214</v>
      </c>
      <c r="C138" s="206">
        <v>7</v>
      </c>
      <c r="D138" s="196">
        <v>0</v>
      </c>
      <c r="E138" s="228">
        <f t="shared" si="9"/>
        <v>7</v>
      </c>
      <c r="F138" s="206">
        <f t="shared" si="10"/>
        <v>0.35401810549739543</v>
      </c>
      <c r="G138" s="207">
        <f t="shared" si="11"/>
        <v>0.35401810549739543</v>
      </c>
      <c r="H138" s="131">
        <v>19.773</v>
      </c>
      <c r="I138" s="145">
        <v>0.03553043272711484</v>
      </c>
      <c r="J138" s="146">
        <v>0.03204562891116803</v>
      </c>
      <c r="K138" s="156">
        <f t="shared" si="8"/>
        <v>100.56988140611416</v>
      </c>
      <c r="L138" s="47"/>
    </row>
    <row r="139" spans="1:17" ht="15">
      <c r="A139" s="23"/>
      <c r="B139" s="125">
        <v>41244</v>
      </c>
      <c r="C139" s="208">
        <v>6.98</v>
      </c>
      <c r="D139" s="209">
        <v>0</v>
      </c>
      <c r="E139" s="229">
        <f t="shared" si="9"/>
        <v>6.98</v>
      </c>
      <c r="F139" s="208">
        <f t="shared" si="10"/>
        <v>0.36158309158723584</v>
      </c>
      <c r="G139" s="210">
        <f t="shared" si="11"/>
        <v>0.36158309158723584</v>
      </c>
      <c r="H139" s="132">
        <v>19.304</v>
      </c>
      <c r="I139" s="147">
        <v>0.03560353974437914</v>
      </c>
      <c r="J139" s="148">
        <v>0.031532529342885036</v>
      </c>
      <c r="K139" s="157">
        <f t="shared" si="8"/>
        <v>100.93976488730355</v>
      </c>
      <c r="L139" s="48"/>
      <c r="Q139" s="24"/>
    </row>
    <row r="140" spans="2:17" ht="15">
      <c r="B140" s="35">
        <v>41275</v>
      </c>
      <c r="C140" s="211">
        <v>7.28</v>
      </c>
      <c r="D140" s="212">
        <v>0</v>
      </c>
      <c r="E140" s="230">
        <f t="shared" si="9"/>
        <v>7.28</v>
      </c>
      <c r="F140" s="211">
        <f t="shared" si="10"/>
        <v>0.37665562913907286</v>
      </c>
      <c r="G140" s="213">
        <f t="shared" si="11"/>
        <v>0.37665562913907286</v>
      </c>
      <c r="H140" s="130">
        <v>19.328</v>
      </c>
      <c r="I140" s="145">
        <v>0.036288317298224494</v>
      </c>
      <c r="J140" s="146">
        <v>0.03181780583546414</v>
      </c>
      <c r="K140" s="156">
        <f t="shared" si="8"/>
        <v>103.7786448536282</v>
      </c>
      <c r="L140" s="46"/>
      <c r="Q140" s="24"/>
    </row>
    <row r="141" spans="2:12" ht="15">
      <c r="B141" s="40">
        <v>41306</v>
      </c>
      <c r="C141" s="206">
        <v>7.61</v>
      </c>
      <c r="D141" s="196">
        <v>0</v>
      </c>
      <c r="E141" s="228">
        <f t="shared" si="9"/>
        <v>7.61</v>
      </c>
      <c r="F141" s="206">
        <f t="shared" si="10"/>
        <v>0.3981583215612411</v>
      </c>
      <c r="G141" s="207">
        <f t="shared" si="11"/>
        <v>0.3981583215612411</v>
      </c>
      <c r="H141" s="131">
        <v>19.113</v>
      </c>
      <c r="I141" s="145">
        <v>0.03729028991220782</v>
      </c>
      <c r="J141" s="146">
        <v>0.0322375818164938</v>
      </c>
      <c r="K141" s="156">
        <f t="shared" si="8"/>
        <v>106.26457175897046</v>
      </c>
      <c r="L141" s="47"/>
    </row>
    <row r="142" spans="2:12" ht="15.75" customHeight="1">
      <c r="B142" s="40">
        <v>41334</v>
      </c>
      <c r="C142" s="206">
        <v>8.08</v>
      </c>
      <c r="D142" s="196">
        <v>0</v>
      </c>
      <c r="E142" s="228">
        <f t="shared" si="9"/>
        <v>8.08</v>
      </c>
      <c r="F142" s="206">
        <f t="shared" si="10"/>
        <v>0.42526315789473684</v>
      </c>
      <c r="G142" s="207">
        <f t="shared" si="11"/>
        <v>0.42526315789473684</v>
      </c>
      <c r="H142" s="131">
        <v>19</v>
      </c>
      <c r="I142" s="145">
        <v>0.03854445558263453</v>
      </c>
      <c r="J142" s="146">
        <v>0.0339887559047379</v>
      </c>
      <c r="K142" s="156">
        <f t="shared" si="8"/>
        <v>108.15266597619853</v>
      </c>
      <c r="L142" s="47"/>
    </row>
    <row r="143" spans="2:12" ht="15">
      <c r="B143" s="40">
        <v>41365</v>
      </c>
      <c r="C143" s="206">
        <v>8.44</v>
      </c>
      <c r="D143" s="196">
        <v>0</v>
      </c>
      <c r="E143" s="228">
        <f t="shared" si="9"/>
        <v>8.44</v>
      </c>
      <c r="F143" s="206">
        <f t="shared" si="10"/>
        <v>0.44451466793068944</v>
      </c>
      <c r="G143" s="207">
        <f t="shared" si="11"/>
        <v>0.44451466793068944</v>
      </c>
      <c r="H143" s="131">
        <v>18.987</v>
      </c>
      <c r="I143" s="145">
        <v>0.03842190951342333</v>
      </c>
      <c r="J143" s="146">
        <v>0.034012864214348446</v>
      </c>
      <c r="K143" s="156">
        <f t="shared" si="8"/>
        <v>113.12487546488843</v>
      </c>
      <c r="L143" s="47"/>
    </row>
    <row r="144" spans="2:12" ht="15">
      <c r="B144" s="40">
        <v>41395</v>
      </c>
      <c r="C144" s="206">
        <v>8.56</v>
      </c>
      <c r="D144" s="196">
        <v>0</v>
      </c>
      <c r="E144" s="228">
        <f t="shared" si="9"/>
        <v>8.56</v>
      </c>
      <c r="F144" s="206">
        <f t="shared" si="10"/>
        <v>0.4445136833359298</v>
      </c>
      <c r="G144" s="207">
        <f t="shared" si="11"/>
        <v>0.4445136833359298</v>
      </c>
      <c r="H144" s="131">
        <v>19.257</v>
      </c>
      <c r="I144" s="145">
        <v>0.03814541485366151</v>
      </c>
      <c r="J144" s="146">
        <v>0.03401857428097719</v>
      </c>
      <c r="K144" s="156">
        <f t="shared" si="8"/>
        <v>115.16380553942189</v>
      </c>
      <c r="L144" s="47"/>
    </row>
    <row r="145" spans="2:17" ht="15">
      <c r="B145" s="40">
        <v>41426</v>
      </c>
      <c r="C145" s="206">
        <v>8.38</v>
      </c>
      <c r="D145" s="196">
        <v>0</v>
      </c>
      <c r="E145" s="228">
        <f t="shared" si="9"/>
        <v>8.38</v>
      </c>
      <c r="F145" s="206">
        <f t="shared" si="10"/>
        <v>0.40532043530834344</v>
      </c>
      <c r="G145" s="207">
        <f t="shared" si="11"/>
        <v>0.40532043530834344</v>
      </c>
      <c r="H145" s="131">
        <v>20.675</v>
      </c>
      <c r="I145" s="145">
        <v>0.037312759399958734</v>
      </c>
      <c r="J145" s="146">
        <v>0.03359666248453726</v>
      </c>
      <c r="K145" s="156">
        <f t="shared" si="8"/>
        <v>114.736830647832</v>
      </c>
      <c r="L145" s="47"/>
      <c r="Q145" s="24"/>
    </row>
    <row r="146" spans="2:12" ht="15">
      <c r="B146" s="40">
        <v>41456</v>
      </c>
      <c r="C146" s="206">
        <v>8.33</v>
      </c>
      <c r="D146" s="196">
        <v>0</v>
      </c>
      <c r="E146" s="228">
        <f t="shared" si="9"/>
        <v>8.33</v>
      </c>
      <c r="F146" s="206">
        <f t="shared" si="10"/>
        <v>0.39529255445356615</v>
      </c>
      <c r="G146" s="207">
        <f t="shared" si="11"/>
        <v>0.39529255445356615</v>
      </c>
      <c r="H146" s="131">
        <v>21.073</v>
      </c>
      <c r="I146" s="145">
        <v>0.037399445466680864</v>
      </c>
      <c r="J146" s="146">
        <v>0.0331454567274076</v>
      </c>
      <c r="K146" s="156">
        <f t="shared" si="8"/>
        <v>114.64157422071537</v>
      </c>
      <c r="L146" s="47"/>
    </row>
    <row r="147" spans="2:12" ht="15">
      <c r="B147" s="40">
        <v>41487</v>
      </c>
      <c r="C147" s="206">
        <v>8.56</v>
      </c>
      <c r="D147" s="196">
        <v>0</v>
      </c>
      <c r="E147" s="228">
        <f t="shared" si="9"/>
        <v>8.56</v>
      </c>
      <c r="F147" s="206">
        <f t="shared" si="10"/>
        <v>0.3911354809230066</v>
      </c>
      <c r="G147" s="207">
        <f t="shared" si="11"/>
        <v>0.3911354809230066</v>
      </c>
      <c r="H147" s="131">
        <v>21.885</v>
      </c>
      <c r="I147" s="145">
        <v>0.036527945399695665</v>
      </c>
      <c r="J147" s="146">
        <v>0.03334758396423701</v>
      </c>
      <c r="K147" s="156">
        <f t="shared" si="8"/>
        <v>118.9354798067572</v>
      </c>
      <c r="L147" s="108"/>
    </row>
    <row r="148" spans="2:12" ht="15">
      <c r="B148" s="40">
        <v>41518</v>
      </c>
      <c r="C148" s="206">
        <v>9.02</v>
      </c>
      <c r="D148" s="196">
        <v>0</v>
      </c>
      <c r="E148" s="228">
        <f t="shared" si="9"/>
        <v>9.02</v>
      </c>
      <c r="F148" s="206">
        <f t="shared" si="10"/>
        <v>0.4073154210882818</v>
      </c>
      <c r="G148" s="207">
        <f t="shared" si="11"/>
        <v>0.4073154210882818</v>
      </c>
      <c r="H148" s="131">
        <v>22.145</v>
      </c>
      <c r="I148" s="145">
        <v>0.03678877829791813</v>
      </c>
      <c r="J148" s="146">
        <v>0.033873507991723326</v>
      </c>
      <c r="K148" s="156">
        <f t="shared" si="8"/>
        <v>123.9314776414446</v>
      </c>
      <c r="L148" s="108"/>
    </row>
    <row r="149" spans="2:12" ht="15">
      <c r="B149" s="40">
        <v>41548</v>
      </c>
      <c r="C149" s="206">
        <v>9.43</v>
      </c>
      <c r="D149" s="196">
        <v>0</v>
      </c>
      <c r="E149" s="228">
        <f t="shared" si="9"/>
        <v>9.43</v>
      </c>
      <c r="F149" s="206">
        <f t="shared" si="10"/>
        <v>0.43576709796672825</v>
      </c>
      <c r="G149" s="207">
        <f t="shared" si="11"/>
        <v>0.43576709796672825</v>
      </c>
      <c r="H149" s="131">
        <v>21.64</v>
      </c>
      <c r="I149" s="145">
        <v>0.03594818698199392</v>
      </c>
      <c r="J149" s="146">
        <v>0.03346195560189797</v>
      </c>
      <c r="K149" s="156">
        <f t="shared" si="8"/>
        <v>131.90204579625708</v>
      </c>
      <c r="L149" s="108"/>
    </row>
    <row r="150" spans="2:12" ht="15">
      <c r="B150" s="40">
        <v>41579</v>
      </c>
      <c r="C150" s="206">
        <v>9.49</v>
      </c>
      <c r="D150" s="196">
        <v>0</v>
      </c>
      <c r="E150" s="228">
        <f t="shared" si="9"/>
        <v>9.49</v>
      </c>
      <c r="F150" s="206">
        <f t="shared" si="10"/>
        <v>0.44453813003560055</v>
      </c>
      <c r="G150" s="207">
        <f t="shared" si="11"/>
        <v>0.44453813003560055</v>
      </c>
      <c r="H150" s="131">
        <v>21.348</v>
      </c>
      <c r="I150" s="145">
        <v>0.03580739172333869</v>
      </c>
      <c r="J150" s="146">
        <v>0.03277855606191494</v>
      </c>
      <c r="K150" s="156">
        <f t="shared" si="8"/>
        <v>134.3364425298601</v>
      </c>
      <c r="L150" s="108"/>
    </row>
    <row r="151" spans="2:12" ht="15">
      <c r="B151" s="40">
        <v>41609</v>
      </c>
      <c r="C151" s="206">
        <v>9.32</v>
      </c>
      <c r="D151" s="196">
        <v>0</v>
      </c>
      <c r="E151" s="228">
        <f t="shared" si="9"/>
        <v>9.32</v>
      </c>
      <c r="F151" s="206">
        <f t="shared" si="10"/>
        <v>0.4362683143753218</v>
      </c>
      <c r="G151" s="207">
        <f t="shared" si="11"/>
        <v>0.4362683143753218</v>
      </c>
      <c r="H151" s="131">
        <v>21.363</v>
      </c>
      <c r="I151" s="147">
        <v>0.03573364890709869</v>
      </c>
      <c r="J151" s="148">
        <v>0.03186909822616283</v>
      </c>
      <c r="K151" s="157">
        <f t="shared" si="8"/>
        <v>133.84875723294942</v>
      </c>
      <c r="L151" s="108"/>
    </row>
    <row r="152" spans="2:17" ht="15">
      <c r="B152" s="35">
        <v>41640</v>
      </c>
      <c r="C152" s="211">
        <v>9.76</v>
      </c>
      <c r="D152" s="212">
        <v>0</v>
      </c>
      <c r="E152" s="230">
        <f t="shared" si="9"/>
        <v>9.76</v>
      </c>
      <c r="F152" s="211">
        <f t="shared" si="10"/>
        <v>0.4506834133727374</v>
      </c>
      <c r="G152" s="213">
        <f t="shared" si="11"/>
        <v>0.4506834133727374</v>
      </c>
      <c r="H152" s="130">
        <v>21.656</v>
      </c>
      <c r="I152" s="145">
        <v>0.03649102222985257</v>
      </c>
      <c r="J152" s="146">
        <v>0.03217845470754938</v>
      </c>
      <c r="K152" s="156">
        <f t="shared" si="8"/>
        <v>137.99039366468065</v>
      </c>
      <c r="L152" s="109"/>
      <c r="Q152" s="24"/>
    </row>
    <row r="153" spans="2:12" ht="15">
      <c r="B153" s="40">
        <v>41671</v>
      </c>
      <c r="C153" s="206">
        <v>10.08</v>
      </c>
      <c r="D153" s="196">
        <v>0</v>
      </c>
      <c r="E153" s="228">
        <f t="shared" si="9"/>
        <v>10.08</v>
      </c>
      <c r="F153" s="206">
        <f t="shared" si="10"/>
        <v>0.45052292839903463</v>
      </c>
      <c r="G153" s="207">
        <f t="shared" si="11"/>
        <v>0.45052292839903463</v>
      </c>
      <c r="H153" s="131">
        <v>22.374</v>
      </c>
      <c r="I153" s="145">
        <v>0.03796686882900971</v>
      </c>
      <c r="J153" s="146">
        <v>0.03301319050094152</v>
      </c>
      <c r="K153" s="156">
        <f t="shared" si="8"/>
        <v>137.87545205475408</v>
      </c>
      <c r="L153" s="108"/>
    </row>
    <row r="154" spans="2:12" ht="15.75" customHeight="1">
      <c r="B154" s="40">
        <v>41699</v>
      </c>
      <c r="C154" s="206">
        <v>10.48</v>
      </c>
      <c r="D154" s="196">
        <v>0</v>
      </c>
      <c r="E154" s="228">
        <f t="shared" si="9"/>
        <v>10.48</v>
      </c>
      <c r="F154" s="206">
        <f t="shared" si="10"/>
        <v>0.4629997791031588</v>
      </c>
      <c r="G154" s="207">
        <f t="shared" si="11"/>
        <v>0.4629997791031588</v>
      </c>
      <c r="H154" s="131">
        <v>22.635</v>
      </c>
      <c r="I154" s="145">
        <v>0.03855801492827601</v>
      </c>
      <c r="J154" s="146">
        <v>0.03425824285331236</v>
      </c>
      <c r="K154" s="156">
        <f t="shared" si="8"/>
        <v>139.7319443697928</v>
      </c>
      <c r="L154" s="108"/>
    </row>
    <row r="155" spans="2:12" ht="15">
      <c r="B155" s="40">
        <v>41730</v>
      </c>
      <c r="C155" s="206">
        <v>10.56</v>
      </c>
      <c r="D155" s="196">
        <v>0</v>
      </c>
      <c r="E155" s="228">
        <f t="shared" si="9"/>
        <v>10.56</v>
      </c>
      <c r="F155" s="206">
        <f t="shared" si="10"/>
        <v>0.46208375268017327</v>
      </c>
      <c r="G155" s="207">
        <f t="shared" si="11"/>
        <v>0.46208375268017327</v>
      </c>
      <c r="H155" s="131">
        <v>22.853</v>
      </c>
      <c r="I155" s="145">
        <v>0.03885587895778327</v>
      </c>
      <c r="J155" s="146">
        <v>0.03445225285035762</v>
      </c>
      <c r="K155" s="156">
        <f t="shared" si="8"/>
        <v>139.8538870325909</v>
      </c>
      <c r="L155" s="108"/>
    </row>
    <row r="156" spans="2:12" ht="15">
      <c r="B156" s="40">
        <v>41760</v>
      </c>
      <c r="C156" s="206">
        <v>10.55</v>
      </c>
      <c r="D156" s="196">
        <v>0</v>
      </c>
      <c r="E156" s="228">
        <f t="shared" si="9"/>
        <v>10.55</v>
      </c>
      <c r="F156" s="206">
        <f t="shared" si="10"/>
        <v>0.45825731908609163</v>
      </c>
      <c r="G156" s="207">
        <f t="shared" si="11"/>
        <v>0.45825731908609163</v>
      </c>
      <c r="H156" s="131">
        <v>23.022</v>
      </c>
      <c r="I156" s="145">
        <v>0.03832165259878562</v>
      </c>
      <c r="J156" s="146">
        <v>0.03428988946348824</v>
      </c>
      <c r="K156" s="156">
        <f t="shared" si="8"/>
        <v>141.06184988906418</v>
      </c>
      <c r="L156" s="108"/>
    </row>
    <row r="157" spans="2:12" ht="15">
      <c r="B157" s="40">
        <v>41791</v>
      </c>
      <c r="C157" s="206">
        <v>10.51</v>
      </c>
      <c r="D157" s="196">
        <v>0</v>
      </c>
      <c r="E157" s="228">
        <f t="shared" si="9"/>
        <v>10.51</v>
      </c>
      <c r="F157" s="206">
        <f t="shared" si="10"/>
        <v>0.4578323749782192</v>
      </c>
      <c r="G157" s="207">
        <f t="shared" si="11"/>
        <v>0.4578323749782192</v>
      </c>
      <c r="H157" s="131">
        <v>22.956</v>
      </c>
      <c r="I157" s="145">
        <v>0.03839686761097608</v>
      </c>
      <c r="J157" s="146">
        <v>0.0340562785474676</v>
      </c>
      <c r="K157" s="156">
        <f t="shared" si="8"/>
        <v>140.8342361397438</v>
      </c>
      <c r="L157" s="108"/>
    </row>
    <row r="158" spans="2:12" ht="15">
      <c r="B158" s="40">
        <v>41821</v>
      </c>
      <c r="C158" s="206">
        <v>10.18</v>
      </c>
      <c r="D158" s="196">
        <v>0</v>
      </c>
      <c r="E158" s="228">
        <f t="shared" si="9"/>
        <v>10.18</v>
      </c>
      <c r="F158" s="206">
        <f t="shared" si="10"/>
        <v>0.44255097161239837</v>
      </c>
      <c r="G158" s="207">
        <f t="shared" si="11"/>
        <v>0.44255097161239837</v>
      </c>
      <c r="H158" s="131">
        <v>23.003</v>
      </c>
      <c r="I158" s="145">
        <v>0.03740476359144125</v>
      </c>
      <c r="J158" s="146">
        <v>0.0334120533319022</v>
      </c>
      <c r="K158" s="156">
        <f t="shared" si="8"/>
        <v>139.56423876449546</v>
      </c>
      <c r="L158" s="108"/>
    </row>
    <row r="159" spans="2:12" ht="15">
      <c r="B159" s="40">
        <v>41852</v>
      </c>
      <c r="C159" s="206">
        <v>9.74</v>
      </c>
      <c r="D159" s="196">
        <v>0</v>
      </c>
      <c r="E159" s="228">
        <f t="shared" si="9"/>
        <v>9.74</v>
      </c>
      <c r="F159" s="206">
        <f t="shared" si="10"/>
        <v>0.4106239460370995</v>
      </c>
      <c r="G159" s="207">
        <f t="shared" si="11"/>
        <v>0.4106239460370995</v>
      </c>
      <c r="H159" s="131">
        <v>23.72</v>
      </c>
      <c r="I159" s="145">
        <v>0.036688853254171545</v>
      </c>
      <c r="J159" s="146">
        <v>0.03369298913039023</v>
      </c>
      <c r="K159" s="156">
        <f t="shared" si="8"/>
        <v>134.3572483928879</v>
      </c>
      <c r="L159" s="108"/>
    </row>
    <row r="160" spans="2:12" s="105" customFormat="1" ht="15">
      <c r="B160" s="158">
        <v>41883</v>
      </c>
      <c r="C160" s="214">
        <v>9.67</v>
      </c>
      <c r="D160" s="197">
        <v>0</v>
      </c>
      <c r="E160" s="231">
        <f t="shared" si="9"/>
        <v>9.67</v>
      </c>
      <c r="F160" s="214">
        <f t="shared" si="10"/>
        <v>0.39763148155762984</v>
      </c>
      <c r="G160" s="215">
        <f t="shared" si="11"/>
        <v>0.39763148155762984</v>
      </c>
      <c r="H160" s="135">
        <v>24.319</v>
      </c>
      <c r="I160" s="151">
        <v>0.036461146616984325</v>
      </c>
      <c r="J160" s="152">
        <v>0.03376821786754443</v>
      </c>
      <c r="K160" s="159">
        <f t="shared" si="8"/>
        <v>133.68125403770844</v>
      </c>
      <c r="L160" s="160"/>
    </row>
    <row r="161" spans="2:12" s="105" customFormat="1" ht="15">
      <c r="B161" s="158">
        <v>41913</v>
      </c>
      <c r="C161" s="214">
        <v>9.21</v>
      </c>
      <c r="D161" s="197">
        <v>0</v>
      </c>
      <c r="E161" s="231">
        <f t="shared" si="9"/>
        <v>9.21</v>
      </c>
      <c r="F161" s="214">
        <f t="shared" si="10"/>
        <v>0.378762954433295</v>
      </c>
      <c r="G161" s="215">
        <f t="shared" si="11"/>
        <v>0.378762954433295</v>
      </c>
      <c r="H161" s="135">
        <v>24.316</v>
      </c>
      <c r="I161" s="151">
        <v>0.03613423402465657</v>
      </c>
      <c r="J161" s="152">
        <v>0.033299931468311235</v>
      </c>
      <c r="K161" s="159">
        <f t="shared" si="8"/>
        <v>128.78022669864367</v>
      </c>
      <c r="L161" s="160"/>
    </row>
    <row r="162" spans="2:12" s="105" customFormat="1" ht="15">
      <c r="B162" s="158">
        <v>41944</v>
      </c>
      <c r="C162" s="214">
        <v>9.1</v>
      </c>
      <c r="D162" s="197">
        <v>0</v>
      </c>
      <c r="E162" s="231">
        <f t="shared" si="9"/>
        <v>9.1</v>
      </c>
      <c r="F162" s="214">
        <f t="shared" si="10"/>
        <v>0.3792772892093527</v>
      </c>
      <c r="G162" s="215">
        <f t="shared" si="11"/>
        <v>0.3792772892093527</v>
      </c>
      <c r="H162" s="135">
        <v>23.993</v>
      </c>
      <c r="I162" s="151">
        <v>0.03644466178482631</v>
      </c>
      <c r="J162" s="152">
        <v>0.032806306043221295</v>
      </c>
      <c r="K162" s="159">
        <f t="shared" si="8"/>
        <v>127.5787434227367</v>
      </c>
      <c r="L162" s="160"/>
    </row>
    <row r="163" spans="2:12" s="105" customFormat="1" ht="15">
      <c r="B163" s="158">
        <v>41974</v>
      </c>
      <c r="C163" s="214">
        <v>9.07</v>
      </c>
      <c r="D163" s="197">
        <v>0</v>
      </c>
      <c r="E163" s="231">
        <f t="shared" si="9"/>
        <v>9.07</v>
      </c>
      <c r="F163" s="214">
        <f t="shared" si="10"/>
        <v>0.3762392666030614</v>
      </c>
      <c r="G163" s="215">
        <f t="shared" si="11"/>
        <v>0.3762392666030614</v>
      </c>
      <c r="H163" s="135">
        <v>24.107</v>
      </c>
      <c r="I163" s="161">
        <v>0.0369165166509213</v>
      </c>
      <c r="J163" s="162">
        <v>0.032365486829582964</v>
      </c>
      <c r="K163" s="163">
        <f t="shared" si="8"/>
        <v>127.10119223380107</v>
      </c>
      <c r="L163" s="160"/>
    </row>
    <row r="164" spans="2:12" s="105" customFormat="1" ht="15">
      <c r="B164" s="164">
        <v>42005</v>
      </c>
      <c r="C164" s="216">
        <v>9.011552192809303</v>
      </c>
      <c r="D164" s="217">
        <v>0</v>
      </c>
      <c r="E164" s="232">
        <f t="shared" si="9"/>
        <v>9.011552192809303</v>
      </c>
      <c r="F164" s="216">
        <f t="shared" si="10"/>
        <v>0.3682693989705477</v>
      </c>
      <c r="G164" s="218">
        <f t="shared" si="11"/>
        <v>0.3682693989705477</v>
      </c>
      <c r="H164" s="165">
        <v>24.47</v>
      </c>
      <c r="I164" s="151">
        <v>0.037133287243522196</v>
      </c>
      <c r="J164" s="152">
        <v>0.03217459024186515</v>
      </c>
      <c r="K164" s="159">
        <f t="shared" si="8"/>
        <v>126.2349983331781</v>
      </c>
      <c r="L164" s="166"/>
    </row>
    <row r="165" spans="2:12" s="105" customFormat="1" ht="15">
      <c r="B165" s="158">
        <v>42036</v>
      </c>
      <c r="C165" s="214">
        <v>9.143621654539983</v>
      </c>
      <c r="D165" s="197">
        <v>0</v>
      </c>
      <c r="E165" s="231">
        <f t="shared" si="9"/>
        <v>9.143621654539983</v>
      </c>
      <c r="F165" s="214">
        <f t="shared" si="10"/>
        <v>0.3720851979547482</v>
      </c>
      <c r="G165" s="215">
        <f t="shared" si="11"/>
        <v>0.3720851979547482</v>
      </c>
      <c r="H165" s="135">
        <v>24.574</v>
      </c>
      <c r="I165" s="151">
        <v>0.03749862794126648</v>
      </c>
      <c r="J165" s="152">
        <v>0.03281563856670777</v>
      </c>
      <c r="K165" s="159">
        <f t="shared" si="8"/>
        <v>126.25179807879415</v>
      </c>
      <c r="L165" s="160"/>
    </row>
    <row r="166" spans="2:12" s="105" customFormat="1" ht="15">
      <c r="B166" s="158">
        <v>42064</v>
      </c>
      <c r="C166" s="214">
        <v>9.128096549397872</v>
      </c>
      <c r="D166" s="197">
        <v>0</v>
      </c>
      <c r="E166" s="231">
        <f t="shared" si="9"/>
        <v>9.128096549397872</v>
      </c>
      <c r="F166" s="214">
        <f t="shared" si="10"/>
        <v>0.3609940895909939</v>
      </c>
      <c r="G166" s="215">
        <f t="shared" si="11"/>
        <v>0.3609940895909939</v>
      </c>
      <c r="H166" s="135">
        <v>25.286</v>
      </c>
      <c r="I166" s="151">
        <v>0.0386057712301395</v>
      </c>
      <c r="J166" s="152">
        <v>0.033700444937947</v>
      </c>
      <c r="K166" s="159">
        <f t="shared" si="8"/>
        <v>122.56525274407971</v>
      </c>
      <c r="L166" s="160"/>
    </row>
    <row r="167" spans="2:12" s="105" customFormat="1" ht="15">
      <c r="B167" s="158">
        <v>42095</v>
      </c>
      <c r="C167" s="214">
        <v>9.003920535570375</v>
      </c>
      <c r="D167" s="197">
        <v>0</v>
      </c>
      <c r="E167" s="231">
        <f t="shared" si="9"/>
        <v>9.003920535570375</v>
      </c>
      <c r="F167" s="214">
        <f t="shared" si="10"/>
        <v>0.34169179672765265</v>
      </c>
      <c r="G167" s="215">
        <f t="shared" si="11"/>
        <v>0.34169179672765265</v>
      </c>
      <c r="H167" s="135">
        <v>26.351</v>
      </c>
      <c r="I167" s="151">
        <v>0.03958544064058887</v>
      </c>
      <c r="J167" s="152">
        <v>0.03390009753411925</v>
      </c>
      <c r="K167" s="159">
        <f t="shared" si="8"/>
        <v>118.95769752819912</v>
      </c>
      <c r="L167" s="160"/>
    </row>
    <row r="168" spans="2:12" s="105" customFormat="1" ht="15">
      <c r="B168" s="158">
        <v>42125</v>
      </c>
      <c r="C168" s="214">
        <v>8.571380604789205</v>
      </c>
      <c r="D168" s="197">
        <v>0</v>
      </c>
      <c r="E168" s="231">
        <f t="shared" si="9"/>
        <v>8.571380604789205</v>
      </c>
      <c r="F168" s="214">
        <f t="shared" si="10"/>
        <v>0.3214468631085395</v>
      </c>
      <c r="G168" s="215">
        <f t="shared" si="11"/>
        <v>0.3214468631085395</v>
      </c>
      <c r="H168" s="135">
        <v>26.665</v>
      </c>
      <c r="I168" s="151">
        <v>0.03904576585337965</v>
      </c>
      <c r="J168" s="152">
        <v>0.03372022413651268</v>
      </c>
      <c r="K168" s="159">
        <f t="shared" si="8"/>
        <v>114.3628877126489</v>
      </c>
      <c r="L168" s="160"/>
    </row>
    <row r="169" spans="2:12" s="105" customFormat="1" ht="15">
      <c r="B169" s="158">
        <v>42156</v>
      </c>
      <c r="C169" s="214">
        <v>7.900345060053566</v>
      </c>
      <c r="D169" s="197">
        <v>0</v>
      </c>
      <c r="E169" s="231">
        <f t="shared" si="9"/>
        <v>7.900345060053566</v>
      </c>
      <c r="F169" s="214">
        <f t="shared" si="10"/>
        <v>0.2942619584346531</v>
      </c>
      <c r="G169" s="215">
        <f t="shared" si="11"/>
        <v>0.2942619584346531</v>
      </c>
      <c r="H169" s="135">
        <v>26.848</v>
      </c>
      <c r="I169" s="151">
        <v>0.038547358369021005</v>
      </c>
      <c r="J169" s="152">
        <v>0.0335267551931315</v>
      </c>
      <c r="K169" s="159">
        <f t="shared" si="8"/>
        <v>106.42153671120404</v>
      </c>
      <c r="L169" s="160"/>
    </row>
    <row r="170" spans="2:12" s="105" customFormat="1" ht="15">
      <c r="B170" s="158">
        <v>42186</v>
      </c>
      <c r="C170" s="214">
        <v>7.6355363897706665</v>
      </c>
      <c r="D170" s="197">
        <v>0</v>
      </c>
      <c r="E170" s="231">
        <f t="shared" si="9"/>
        <v>7.6355363897706665</v>
      </c>
      <c r="F170" s="214">
        <f t="shared" si="10"/>
        <v>0.2753032770784448</v>
      </c>
      <c r="G170" s="215">
        <f t="shared" si="11"/>
        <v>0.2753032770784448</v>
      </c>
      <c r="H170" s="135">
        <v>27.735</v>
      </c>
      <c r="I170" s="151">
        <v>0.037943885692989184</v>
      </c>
      <c r="J170" s="152">
        <v>0.03321672666124957</v>
      </c>
      <c r="K170" s="159">
        <f t="shared" si="8"/>
        <v>104.17479390267454</v>
      </c>
      <c r="L170" s="160"/>
    </row>
    <row r="171" spans="2:12" s="105" customFormat="1" ht="15">
      <c r="B171" s="158">
        <v>42217</v>
      </c>
      <c r="C171" s="214">
        <v>7.535826773401882</v>
      </c>
      <c r="D171" s="197">
        <v>0</v>
      </c>
      <c r="E171" s="231">
        <f t="shared" si="9"/>
        <v>7.535826773401882</v>
      </c>
      <c r="F171" s="214">
        <f t="shared" si="10"/>
        <v>0.26435931991166356</v>
      </c>
      <c r="G171" s="215">
        <f t="shared" si="11"/>
        <v>0.26435931991166356</v>
      </c>
      <c r="H171" s="135">
        <v>28.506</v>
      </c>
      <c r="I171" s="151">
        <v>0.03740700428013389</v>
      </c>
      <c r="J171" s="152">
        <v>0.03318481433095363</v>
      </c>
      <c r="K171" s="159">
        <f t="shared" si="8"/>
        <v>103.64284158074614</v>
      </c>
      <c r="L171" s="160"/>
    </row>
    <row r="172" spans="2:12" s="105" customFormat="1" ht="15">
      <c r="B172" s="158">
        <v>42248</v>
      </c>
      <c r="C172" s="214">
        <v>7.5674003294411385</v>
      </c>
      <c r="D172" s="197">
        <v>0</v>
      </c>
      <c r="E172" s="231">
        <f t="shared" si="9"/>
        <v>7.5674003294411385</v>
      </c>
      <c r="F172" s="214">
        <f t="shared" si="10"/>
        <v>0.2623925218252822</v>
      </c>
      <c r="G172" s="215">
        <f t="shared" si="11"/>
        <v>0.2623925218252822</v>
      </c>
      <c r="H172" s="135">
        <v>28.84</v>
      </c>
      <c r="I172" s="151">
        <v>0.03613548664822949</v>
      </c>
      <c r="J172" s="152">
        <v>0.03399669762154059</v>
      </c>
      <c r="K172" s="159">
        <f t="shared" si="8"/>
        <v>104.75918706377384</v>
      </c>
      <c r="L172" s="160"/>
    </row>
    <row r="173" spans="2:12" s="105" customFormat="1" ht="15">
      <c r="B173" s="158">
        <v>42278</v>
      </c>
      <c r="C173" s="214">
        <v>7.565713858990738</v>
      </c>
      <c r="D173" s="197">
        <v>0</v>
      </c>
      <c r="E173" s="231">
        <f t="shared" si="9"/>
        <v>7.565713858990738</v>
      </c>
      <c r="F173" s="214">
        <f t="shared" si="10"/>
        <v>0.25787224714512214</v>
      </c>
      <c r="G173" s="215">
        <f t="shared" si="11"/>
        <v>0.25787224714512214</v>
      </c>
      <c r="H173" s="135">
        <v>29.339</v>
      </c>
      <c r="I173" s="151">
        <v>0.035904060675028195</v>
      </c>
      <c r="J173" s="152">
        <v>0.03405924908109689</v>
      </c>
      <c r="K173" s="159">
        <f t="shared" si="8"/>
        <v>104.98864743192044</v>
      </c>
      <c r="L173" s="160"/>
    </row>
    <row r="174" spans="2:12" s="105" customFormat="1" ht="15">
      <c r="B174" s="158">
        <v>42309</v>
      </c>
      <c r="C174" s="214">
        <v>7.479836169168218</v>
      </c>
      <c r="D174" s="197">
        <v>0</v>
      </c>
      <c r="E174" s="231">
        <f t="shared" si="9"/>
        <v>7.479836169168218</v>
      </c>
      <c r="F174" s="214">
        <f t="shared" si="10"/>
        <v>0.2532961791116904</v>
      </c>
      <c r="G174" s="215">
        <f t="shared" si="11"/>
        <v>0.2532961791116904</v>
      </c>
      <c r="H174" s="135">
        <v>29.53</v>
      </c>
      <c r="I174" s="151">
        <v>0.03613642642768046</v>
      </c>
      <c r="J174" s="152">
        <v>0.03319912332876779</v>
      </c>
      <c r="K174" s="159">
        <f t="shared" si="8"/>
        <v>104.73670272722897</v>
      </c>
      <c r="L174" s="160"/>
    </row>
    <row r="175" spans="2:12" s="105" customFormat="1" ht="15">
      <c r="B175" s="167">
        <v>42339</v>
      </c>
      <c r="C175" s="219">
        <v>7.498672560381347</v>
      </c>
      <c r="D175" s="220">
        <v>0</v>
      </c>
      <c r="E175" s="233">
        <f t="shared" si="9"/>
        <v>7.498672560381347</v>
      </c>
      <c r="F175" s="237">
        <f t="shared" si="10"/>
        <v>0.251802302229058</v>
      </c>
      <c r="G175" s="221">
        <f t="shared" si="11"/>
        <v>0.251802302229058</v>
      </c>
      <c r="H175" s="168">
        <v>29.78</v>
      </c>
      <c r="I175" s="161">
        <v>0.03621430416455915</v>
      </c>
      <c r="J175" s="162">
        <v>0.03236483324388783</v>
      </c>
      <c r="K175" s="163">
        <f t="shared" si="8"/>
        <v>106.15859132740772</v>
      </c>
      <c r="L175" s="169"/>
    </row>
    <row r="176" spans="2:12" s="105" customFormat="1" ht="15">
      <c r="B176" s="158">
        <v>42370</v>
      </c>
      <c r="C176" s="214">
        <v>7.33</v>
      </c>
      <c r="D176" s="197">
        <v>0</v>
      </c>
      <c r="E176" s="231">
        <f t="shared" si="9"/>
        <v>7.33</v>
      </c>
      <c r="F176" s="214">
        <f t="shared" si="10"/>
        <v>0.23784801090271918</v>
      </c>
      <c r="G176" s="215">
        <f t="shared" si="11"/>
        <v>0.23784801090271918</v>
      </c>
      <c r="H176" s="135">
        <v>30.818</v>
      </c>
      <c r="I176" s="151">
        <v>0.036878971220495466</v>
      </c>
      <c r="J176" s="152">
        <v>0.03215825390909887</v>
      </c>
      <c r="K176" s="170">
        <f t="shared" si="8"/>
        <v>103.08213925183217</v>
      </c>
      <c r="L176" s="160"/>
    </row>
    <row r="177" spans="2:12" s="105" customFormat="1" ht="15">
      <c r="B177" s="158">
        <v>42401</v>
      </c>
      <c r="C177" s="214">
        <v>7.49</v>
      </c>
      <c r="D177" s="197">
        <v>0</v>
      </c>
      <c r="E177" s="231">
        <f t="shared" si="9"/>
        <v>7.49</v>
      </c>
      <c r="F177" s="214">
        <f t="shared" si="10"/>
        <v>0.23589065255731925</v>
      </c>
      <c r="G177" s="215">
        <f t="shared" si="11"/>
        <v>0.23589065255731925</v>
      </c>
      <c r="H177" s="135">
        <v>31.752</v>
      </c>
      <c r="I177" s="151">
        <v>0.03758607966782719</v>
      </c>
      <c r="J177" s="152">
        <v>0.032640208444033855</v>
      </c>
      <c r="K177" s="159">
        <f t="shared" si="8"/>
        <v>103.54875440107418</v>
      </c>
      <c r="L177" s="160"/>
    </row>
    <row r="178" spans="2:14" s="105" customFormat="1" ht="15">
      <c r="B178" s="158">
        <v>42430</v>
      </c>
      <c r="C178" s="214">
        <v>7.86</v>
      </c>
      <c r="D178" s="197">
        <v>0</v>
      </c>
      <c r="E178" s="231">
        <f t="shared" si="9"/>
        <v>7.86</v>
      </c>
      <c r="F178" s="214">
        <f t="shared" si="10"/>
        <v>0.2443801884152598</v>
      </c>
      <c r="G178" s="215">
        <f t="shared" si="11"/>
        <v>0.2443801884152598</v>
      </c>
      <c r="H178" s="135">
        <v>32.163</v>
      </c>
      <c r="I178" s="151">
        <v>0.03929811843341421</v>
      </c>
      <c r="J178" s="152">
        <v>0.03423559912244178</v>
      </c>
      <c r="K178" s="159">
        <f t="shared" si="8"/>
        <v>103.77644725181361</v>
      </c>
      <c r="L178" s="160"/>
      <c r="M178" s="171"/>
      <c r="N178" s="171"/>
    </row>
    <row r="179" spans="2:14" s="105" customFormat="1" ht="15">
      <c r="B179" s="158">
        <v>42461</v>
      </c>
      <c r="C179" s="214">
        <v>7.97</v>
      </c>
      <c r="D179" s="197">
        <v>0</v>
      </c>
      <c r="E179" s="231">
        <f t="shared" si="9"/>
        <v>7.97</v>
      </c>
      <c r="F179" s="214">
        <f t="shared" si="10"/>
        <v>0.25289544661272406</v>
      </c>
      <c r="G179" s="215">
        <f t="shared" si="11"/>
        <v>0.25289544661272406</v>
      </c>
      <c r="H179" s="135">
        <v>31.515</v>
      </c>
      <c r="I179" s="151">
        <v>0.04067007904755893</v>
      </c>
      <c r="J179" s="152">
        <v>0.03392973065326038</v>
      </c>
      <c r="K179" s="135">
        <f t="shared" si="8"/>
        <v>103.72498413471047</v>
      </c>
      <c r="L179" s="160"/>
      <c r="M179" s="171"/>
      <c r="N179" s="171"/>
    </row>
    <row r="180" spans="2:14" s="105" customFormat="1" ht="15">
      <c r="B180" s="158">
        <v>42491</v>
      </c>
      <c r="C180" s="214">
        <v>8.72</v>
      </c>
      <c r="D180" s="197">
        <v>0</v>
      </c>
      <c r="E180" s="231">
        <f t="shared" si="9"/>
        <v>8.72</v>
      </c>
      <c r="F180" s="214">
        <f t="shared" si="10"/>
        <v>0.27761859280483925</v>
      </c>
      <c r="G180" s="215">
        <f t="shared" si="11"/>
        <v>0.27761859280483925</v>
      </c>
      <c r="H180" s="135">
        <v>31.41</v>
      </c>
      <c r="I180" s="151">
        <v>0.039906146893801335</v>
      </c>
      <c r="J180" s="152">
        <v>0.03423156377307105</v>
      </c>
      <c r="K180" s="135">
        <f t="shared" si="8"/>
        <v>114.19315947745706</v>
      </c>
      <c r="L180" s="160" t="s">
        <v>59</v>
      </c>
      <c r="M180" s="171"/>
      <c r="N180" s="171"/>
    </row>
    <row r="181" spans="2:14" s="105" customFormat="1" ht="15">
      <c r="B181" s="158">
        <v>42522</v>
      </c>
      <c r="C181" s="214">
        <v>8.66</v>
      </c>
      <c r="D181" s="197">
        <v>0</v>
      </c>
      <c r="E181" s="231">
        <f t="shared" si="9"/>
        <v>8.66</v>
      </c>
      <c r="F181" s="214">
        <f t="shared" si="10"/>
        <v>0.2813698096042628</v>
      </c>
      <c r="G181" s="215">
        <f t="shared" si="11"/>
        <v>0.2813698096042628</v>
      </c>
      <c r="H181" s="135">
        <v>30.778</v>
      </c>
      <c r="I181" s="151">
        <v>0.03938602551979737</v>
      </c>
      <c r="J181" s="152">
        <v>0.03390973119897232</v>
      </c>
      <c r="K181" s="135">
        <f t="shared" si="8"/>
        <v>114.7101464898061</v>
      </c>
      <c r="L181" s="160" t="s">
        <v>60</v>
      </c>
      <c r="M181" s="171"/>
      <c r="N181" s="171"/>
    </row>
    <row r="182" spans="2:14" s="105" customFormat="1" ht="15">
      <c r="B182" s="158">
        <v>42552</v>
      </c>
      <c r="C182" s="214">
        <v>8.790000000000001</v>
      </c>
      <c r="D182" s="197">
        <v>0</v>
      </c>
      <c r="E182" s="231">
        <f t="shared" si="9"/>
        <v>8.790000000000001</v>
      </c>
      <c r="F182" s="214">
        <f t="shared" si="10"/>
        <v>0.2926390784698872</v>
      </c>
      <c r="G182" s="215">
        <f t="shared" si="11"/>
        <v>0.2926390784698872</v>
      </c>
      <c r="H182" s="135">
        <v>30.037</v>
      </c>
      <c r="I182" s="151">
        <v>0.0389109338264314</v>
      </c>
      <c r="J182" s="152">
        <v>0.033524259056452</v>
      </c>
      <c r="K182" s="135">
        <f t="shared" si="8"/>
        <v>117.81539115002305</v>
      </c>
      <c r="L182" s="160" t="s">
        <v>61</v>
      </c>
      <c r="M182" s="171"/>
      <c r="N182" s="171"/>
    </row>
    <row r="183" spans="2:14" s="105" customFormat="1" ht="15">
      <c r="B183" s="158">
        <v>42583</v>
      </c>
      <c r="C183" s="214">
        <v>8.75</v>
      </c>
      <c r="D183" s="197">
        <v>0</v>
      </c>
      <c r="E183" s="231">
        <f t="shared" si="9"/>
        <v>8.75</v>
      </c>
      <c r="F183" s="214">
        <f t="shared" si="10"/>
        <v>0.3028624831262331</v>
      </c>
      <c r="G183" s="215">
        <f t="shared" si="11"/>
        <v>0.3028624831262331</v>
      </c>
      <c r="H183" s="135">
        <v>28.891</v>
      </c>
      <c r="I183" s="151">
        <v>0.036812</v>
      </c>
      <c r="J183" s="152">
        <v>0.033243</v>
      </c>
      <c r="K183" s="135">
        <f t="shared" si="8"/>
        <v>121.26394448744502</v>
      </c>
      <c r="L183" s="160" t="s">
        <v>62</v>
      </c>
      <c r="M183" s="171"/>
      <c r="N183" s="171"/>
    </row>
    <row r="184" spans="2:14" s="105" customFormat="1" ht="15">
      <c r="B184" s="158" t="s">
        <v>20</v>
      </c>
      <c r="C184" s="214">
        <v>8.75</v>
      </c>
      <c r="D184" s="197">
        <v>0</v>
      </c>
      <c r="E184" s="231">
        <f t="shared" si="9"/>
        <v>8.75</v>
      </c>
      <c r="F184" s="214">
        <f t="shared" si="10"/>
        <v>0.3040305767894371</v>
      </c>
      <c r="G184" s="215">
        <f t="shared" si="11"/>
        <v>0.3040305767894371</v>
      </c>
      <c r="H184" s="135">
        <v>28.78</v>
      </c>
      <c r="I184" s="151">
        <v>0.03723442851122823</v>
      </c>
      <c r="J184" s="152">
        <v>0.03398549720138555</v>
      </c>
      <c r="K184" s="135">
        <f t="shared" si="8"/>
        <v>119.2804618379907</v>
      </c>
      <c r="L184" s="160"/>
      <c r="M184" s="171"/>
      <c r="N184" s="171"/>
    </row>
    <row r="185" spans="2:12" s="105" customFormat="1" ht="15">
      <c r="B185" s="158">
        <v>42644</v>
      </c>
      <c r="C185" s="214">
        <v>8.9</v>
      </c>
      <c r="D185" s="197">
        <v>0</v>
      </c>
      <c r="E185" s="231">
        <f t="shared" si="9"/>
        <v>8.9</v>
      </c>
      <c r="F185" s="214">
        <f t="shared" si="10"/>
        <v>0.3161521793186743</v>
      </c>
      <c r="G185" s="215">
        <f t="shared" si="11"/>
        <v>0.3161521793186743</v>
      </c>
      <c r="H185" s="135">
        <v>28.151</v>
      </c>
      <c r="I185" s="151">
        <v>0.03616899749455586</v>
      </c>
      <c r="J185" s="152">
        <v>0.03333353823107157</v>
      </c>
      <c r="K185" s="135">
        <f t="shared" si="8"/>
        <v>124.32318632430908</v>
      </c>
      <c r="L185" s="160"/>
    </row>
    <row r="186" spans="2:12" s="105" customFormat="1" ht="15">
      <c r="B186" s="158">
        <v>42675</v>
      </c>
      <c r="C186" s="214">
        <v>8.89</v>
      </c>
      <c r="D186" s="197">
        <v>0</v>
      </c>
      <c r="E186" s="231">
        <f t="shared" si="9"/>
        <v>8.89</v>
      </c>
      <c r="F186" s="214">
        <f t="shared" si="10"/>
        <v>0.30941110956424894</v>
      </c>
      <c r="G186" s="215">
        <f t="shared" si="11"/>
        <v>0.30941110956424894</v>
      </c>
      <c r="H186" s="135">
        <v>28.732</v>
      </c>
      <c r="I186" s="151">
        <v>0.0356652635379653</v>
      </c>
      <c r="J186" s="152">
        <v>0.032591569349782</v>
      </c>
      <c r="K186" s="135">
        <f t="shared" si="8"/>
        <v>126.44987462807406</v>
      </c>
      <c r="L186" s="160"/>
    </row>
    <row r="187" spans="2:12" s="105" customFormat="1" ht="15">
      <c r="B187" s="167">
        <v>42705</v>
      </c>
      <c r="C187" s="219">
        <v>9.03</v>
      </c>
      <c r="D187" s="220">
        <v>0</v>
      </c>
      <c r="E187" s="233">
        <f t="shared" si="9"/>
        <v>9.03</v>
      </c>
      <c r="F187" s="237">
        <f t="shared" si="10"/>
        <v>0.3131067961165048</v>
      </c>
      <c r="G187" s="221">
        <f t="shared" si="11"/>
        <v>0.3131067961165048</v>
      </c>
      <c r="H187" s="168">
        <v>28.84</v>
      </c>
      <c r="I187" s="161">
        <v>0.0364283170547602</v>
      </c>
      <c r="J187" s="162">
        <v>0.0326114957275559</v>
      </c>
      <c r="K187" s="172">
        <f t="shared" si="8"/>
        <v>126.98456061728655</v>
      </c>
      <c r="L187" s="169"/>
    </row>
    <row r="188" spans="2:14" s="105" customFormat="1" ht="15">
      <c r="B188" s="164">
        <v>42736</v>
      </c>
      <c r="C188" s="216">
        <v>9.03</v>
      </c>
      <c r="D188" s="217">
        <v>0</v>
      </c>
      <c r="E188" s="232">
        <f t="shared" si="9"/>
        <v>9.03</v>
      </c>
      <c r="F188" s="216">
        <f t="shared" si="10"/>
        <v>0.31561287616650935</v>
      </c>
      <c r="G188" s="218">
        <f t="shared" si="11"/>
        <v>0.31561287616650935</v>
      </c>
      <c r="H188" s="165">
        <v>28.611</v>
      </c>
      <c r="I188" s="151">
        <v>0.0371032053195308</v>
      </c>
      <c r="J188" s="152">
        <v>0.0327449912077789</v>
      </c>
      <c r="K188" s="165">
        <f t="shared" si="8"/>
        <v>125.51491272697871</v>
      </c>
      <c r="L188" s="166"/>
      <c r="M188" s="173"/>
      <c r="N188" s="174"/>
    </row>
    <row r="189" spans="2:14" s="105" customFormat="1" ht="15">
      <c r="B189" s="158">
        <v>42767</v>
      </c>
      <c r="C189" s="222">
        <v>9.55</v>
      </c>
      <c r="D189" s="198">
        <v>0</v>
      </c>
      <c r="E189" s="234">
        <f t="shared" si="9"/>
        <v>9.55</v>
      </c>
      <c r="F189" s="214">
        <f t="shared" si="10"/>
        <v>0.33553509943082005</v>
      </c>
      <c r="G189" s="215">
        <f t="shared" si="11"/>
        <v>0.33553509943082005</v>
      </c>
      <c r="H189" s="135">
        <v>28.462</v>
      </c>
      <c r="I189" s="151">
        <v>0.03830204419347155</v>
      </c>
      <c r="J189" s="152">
        <v>0.032995269823492365</v>
      </c>
      <c r="K189" s="134">
        <f t="shared" si="8"/>
        <v>130.04479604923273</v>
      </c>
      <c r="L189" s="160"/>
      <c r="M189" s="173"/>
      <c r="N189" s="174"/>
    </row>
    <row r="190" spans="2:14" s="105" customFormat="1" ht="15">
      <c r="B190" s="158">
        <v>42795</v>
      </c>
      <c r="C190" s="222">
        <v>9.87</v>
      </c>
      <c r="D190" s="198">
        <v>0</v>
      </c>
      <c r="E190" s="234">
        <f t="shared" si="9"/>
        <v>9.87</v>
      </c>
      <c r="F190" s="214">
        <f t="shared" si="10"/>
        <v>0.347339527027027</v>
      </c>
      <c r="G190" s="215">
        <f t="shared" si="11"/>
        <v>0.347339527027027</v>
      </c>
      <c r="H190" s="135">
        <v>28.416</v>
      </c>
      <c r="I190" s="151">
        <v>0.038643245509654624</v>
      </c>
      <c r="J190" s="152">
        <v>0.034068480371927216</v>
      </c>
      <c r="K190" s="134">
        <f t="shared" si="8"/>
        <v>131.78788091828184</v>
      </c>
      <c r="L190" s="160"/>
      <c r="M190" s="173"/>
      <c r="N190" s="174"/>
    </row>
    <row r="191" spans="2:14" s="105" customFormat="1" ht="14.25" customHeight="1">
      <c r="B191" s="158">
        <v>42826</v>
      </c>
      <c r="C191" s="222">
        <v>10.07</v>
      </c>
      <c r="D191" s="198">
        <v>0</v>
      </c>
      <c r="E191" s="234">
        <f t="shared" si="9"/>
        <v>10.07</v>
      </c>
      <c r="F191" s="214">
        <f t="shared" si="10"/>
        <v>0.3545400133788685</v>
      </c>
      <c r="G191" s="215">
        <f t="shared" si="11"/>
        <v>0.3545400133788685</v>
      </c>
      <c r="H191" s="135">
        <v>28.403</v>
      </c>
      <c r="I191" s="151">
        <v>0.03927576327675199</v>
      </c>
      <c r="J191" s="152">
        <v>0.03442909388849555</v>
      </c>
      <c r="K191" s="134">
        <f t="shared" si="8"/>
        <v>132.6466043778728</v>
      </c>
      <c r="L191" s="160"/>
      <c r="M191" s="173"/>
      <c r="N191" s="174"/>
    </row>
    <row r="192" spans="2:14" s="105" customFormat="1" ht="14.25" customHeight="1">
      <c r="B192" s="158">
        <v>42856</v>
      </c>
      <c r="C192" s="222">
        <v>10.23</v>
      </c>
      <c r="D192" s="198">
        <v>0</v>
      </c>
      <c r="E192" s="234">
        <f t="shared" si="9"/>
        <v>10.23</v>
      </c>
      <c r="F192" s="214">
        <f t="shared" si="10"/>
        <v>0.3636557534392663</v>
      </c>
      <c r="G192" s="215">
        <f t="shared" si="11"/>
        <v>0.3636557534392663</v>
      </c>
      <c r="H192" s="135">
        <v>28.131</v>
      </c>
      <c r="I192" s="151">
        <v>0.039582</v>
      </c>
      <c r="J192" s="152">
        <v>0.03444</v>
      </c>
      <c r="K192" s="134">
        <f t="shared" si="8"/>
        <v>134.1768505978149</v>
      </c>
      <c r="L192" s="175"/>
      <c r="M192" s="173"/>
      <c r="N192" s="174"/>
    </row>
    <row r="193" spans="2:14" s="105" customFormat="1" ht="14.25" customHeight="1">
      <c r="B193" s="158">
        <v>42887</v>
      </c>
      <c r="C193" s="222">
        <v>10.13</v>
      </c>
      <c r="D193" s="198">
        <v>0</v>
      </c>
      <c r="E193" s="234">
        <f t="shared" si="9"/>
        <v>10.13</v>
      </c>
      <c r="F193" s="214">
        <f t="shared" si="10"/>
        <v>0.35694150810429887</v>
      </c>
      <c r="G193" s="215">
        <f t="shared" si="11"/>
        <v>0.35694150810429887</v>
      </c>
      <c r="H193" s="135">
        <v>28.38</v>
      </c>
      <c r="I193" s="151">
        <v>0.038579279580492475</v>
      </c>
      <c r="J193" s="152">
        <v>0.03455535196931061</v>
      </c>
      <c r="K193" s="134">
        <f t="shared" si="8"/>
        <v>134.4773501677286</v>
      </c>
      <c r="L193" s="175"/>
      <c r="M193" s="173"/>
      <c r="N193" s="174"/>
    </row>
    <row r="194" spans="2:14" s="105" customFormat="1" ht="14.25" customHeight="1">
      <c r="B194" s="158">
        <v>42917</v>
      </c>
      <c r="C194" s="222">
        <v>9.91</v>
      </c>
      <c r="D194" s="198">
        <v>0</v>
      </c>
      <c r="E194" s="234">
        <f t="shared" si="9"/>
        <v>9.91</v>
      </c>
      <c r="F194" s="214">
        <f t="shared" si="10"/>
        <v>0.34600747180615204</v>
      </c>
      <c r="G194" s="215">
        <f t="shared" si="11"/>
        <v>0.34600747180615204</v>
      </c>
      <c r="H194" s="135">
        <v>28.641</v>
      </c>
      <c r="I194" s="151">
        <v>0.03802016659385219</v>
      </c>
      <c r="J194" s="152">
        <v>0.03380129242866225</v>
      </c>
      <c r="K194" s="134">
        <f t="shared" si="8"/>
        <v>133.96218002595697</v>
      </c>
      <c r="L194" s="175"/>
      <c r="M194" s="173"/>
      <c r="N194" s="174"/>
    </row>
    <row r="195" spans="2:14" s="105" customFormat="1" ht="14.25" customHeight="1">
      <c r="B195" s="158">
        <v>42948</v>
      </c>
      <c r="C195" s="222">
        <v>9.963336352712638</v>
      </c>
      <c r="D195" s="198">
        <v>0.133336352712638</v>
      </c>
      <c r="E195" s="234">
        <f t="shared" si="9"/>
        <v>9.83</v>
      </c>
      <c r="F195" s="214">
        <f t="shared" si="10"/>
        <v>0.3474693573520485</v>
      </c>
      <c r="G195" s="215">
        <f t="shared" si="11"/>
        <v>0.342819278789147</v>
      </c>
      <c r="H195" s="135">
        <v>28.674</v>
      </c>
      <c r="I195" s="151">
        <v>0.037096000000000004</v>
      </c>
      <c r="J195" s="152">
        <v>0.033941000000000006</v>
      </c>
      <c r="K195" s="134">
        <f t="shared" si="8"/>
        <v>136.17047580855424</v>
      </c>
      <c r="L195" s="160" t="s">
        <v>79</v>
      </c>
      <c r="M195" s="173"/>
      <c r="N195" s="174"/>
    </row>
    <row r="196" spans="2:14" s="105" customFormat="1" ht="15">
      <c r="B196" s="158">
        <v>42979</v>
      </c>
      <c r="C196" s="222">
        <v>9.793148465216737</v>
      </c>
      <c r="D196" s="198">
        <v>0.133148465216737</v>
      </c>
      <c r="E196" s="234">
        <f t="shared" si="9"/>
        <v>9.66</v>
      </c>
      <c r="F196" s="214">
        <f t="shared" si="10"/>
        <v>0.3387343386675223</v>
      </c>
      <c r="G196" s="215">
        <f t="shared" si="11"/>
        <v>0.3341288782816229</v>
      </c>
      <c r="H196" s="135">
        <v>28.911</v>
      </c>
      <c r="I196" s="151">
        <v>0.03746890935950799</v>
      </c>
      <c r="J196" s="152">
        <v>0.03315522635109928</v>
      </c>
      <c r="K196" s="134">
        <f t="shared" si="8"/>
        <v>134.62693788195077</v>
      </c>
      <c r="L196" s="160" t="s">
        <v>79</v>
      </c>
      <c r="M196" s="173"/>
      <c r="N196" s="174"/>
    </row>
    <row r="197" spans="2:14" s="105" customFormat="1" ht="15">
      <c r="B197" s="158">
        <v>43009</v>
      </c>
      <c r="C197" s="222">
        <v>9.744885288335166</v>
      </c>
      <c r="D197" s="198">
        <v>0.134885288335166</v>
      </c>
      <c r="E197" s="234">
        <f t="shared" si="9"/>
        <v>9.61</v>
      </c>
      <c r="F197" s="214">
        <f t="shared" si="10"/>
        <v>0.3320346617716163</v>
      </c>
      <c r="G197" s="215">
        <f t="shared" si="11"/>
        <v>0.3274387543016798</v>
      </c>
      <c r="H197" s="135">
        <v>29.349</v>
      </c>
      <c r="I197" s="151">
        <v>0.0368089009845406</v>
      </c>
      <c r="J197" s="152">
        <v>0.0330035540517109</v>
      </c>
      <c r="K197" s="134">
        <f t="shared" si="8"/>
        <v>135.52099941310567</v>
      </c>
      <c r="L197" s="160" t="s">
        <v>79</v>
      </c>
      <c r="M197" s="173"/>
      <c r="N197" s="174"/>
    </row>
    <row r="198" spans="2:14" s="105" customFormat="1" ht="15">
      <c r="B198" s="158">
        <v>43040</v>
      </c>
      <c r="C198" s="214">
        <v>9.675598476306146</v>
      </c>
      <c r="D198" s="197">
        <v>0.135598476306146</v>
      </c>
      <c r="E198" s="231">
        <f t="shared" si="9"/>
        <v>9.54</v>
      </c>
      <c r="F198" s="214">
        <f t="shared" si="10"/>
        <v>0.33100470309965946</v>
      </c>
      <c r="G198" s="215">
        <f t="shared" si="11"/>
        <v>0.3263658444801751</v>
      </c>
      <c r="H198" s="135">
        <v>29.231</v>
      </c>
      <c r="I198" s="151">
        <v>0.035943881043044</v>
      </c>
      <c r="J198" s="152">
        <v>0.0328799920472478</v>
      </c>
      <c r="K198" s="134">
        <f t="shared" si="8"/>
        <v>136.49021054262116</v>
      </c>
      <c r="L198" s="160" t="s">
        <v>80</v>
      </c>
      <c r="M198" s="173"/>
      <c r="N198" s="174"/>
    </row>
    <row r="199" spans="2:14" s="105" customFormat="1" ht="15">
      <c r="B199" s="167">
        <v>43070</v>
      </c>
      <c r="C199" s="219">
        <v>9.534592192182137</v>
      </c>
      <c r="D199" s="220">
        <v>0.134592192182136</v>
      </c>
      <c r="E199" s="233">
        <f t="shared" si="9"/>
        <v>9.4</v>
      </c>
      <c r="F199" s="237">
        <f t="shared" si="10"/>
        <v>0.33014515900907676</v>
      </c>
      <c r="G199" s="221">
        <f t="shared" si="11"/>
        <v>0.3254847645429363</v>
      </c>
      <c r="H199" s="172">
        <v>28.88</v>
      </c>
      <c r="I199" s="161">
        <v>0.036488033689386</v>
      </c>
      <c r="J199" s="162">
        <v>0.0322336873021668</v>
      </c>
      <c r="K199" s="172">
        <f t="shared" si="8"/>
        <v>134.7010157765934</v>
      </c>
      <c r="L199" s="169" t="s">
        <v>79</v>
      </c>
      <c r="M199" s="173"/>
      <c r="N199" s="174"/>
    </row>
    <row r="200" spans="2:14" s="105" customFormat="1" ht="15">
      <c r="B200" s="158">
        <v>43101</v>
      </c>
      <c r="C200" s="214">
        <v>9.599039950468125</v>
      </c>
      <c r="D200" s="197">
        <v>0.139039950468124</v>
      </c>
      <c r="E200" s="231">
        <f t="shared" si="9"/>
        <v>9.46</v>
      </c>
      <c r="F200" s="214">
        <f t="shared" si="10"/>
        <v>0.33646605035115584</v>
      </c>
      <c r="G200" s="215">
        <f t="shared" si="11"/>
        <v>0.3315924147358828</v>
      </c>
      <c r="H200" s="135">
        <v>28.529</v>
      </c>
      <c r="I200" s="151">
        <v>0.036844148904566235</v>
      </c>
      <c r="J200" s="152">
        <v>0.03261170135326592</v>
      </c>
      <c r="K200" s="165">
        <f aca="true" t="shared" si="12" ref="K200:K242">C200/1.03/(I200+J200)</f>
        <v>134.17813226668414</v>
      </c>
      <c r="L200" s="160" t="s">
        <v>80</v>
      </c>
      <c r="N200" s="174"/>
    </row>
    <row r="201" spans="2:14" s="105" customFormat="1" ht="15">
      <c r="B201" s="158">
        <v>43132</v>
      </c>
      <c r="C201" s="214">
        <v>9.778930836522465</v>
      </c>
      <c r="D201" s="197">
        <v>0.138930836522464</v>
      </c>
      <c r="E201" s="231">
        <f aca="true" t="shared" si="13" ref="E201:E223">C201-D201</f>
        <v>9.64</v>
      </c>
      <c r="F201" s="214">
        <f aca="true" t="shared" si="14" ref="F201:F235">C201/H201</f>
        <v>0.3428797628514188</v>
      </c>
      <c r="G201" s="215">
        <f aca="true" t="shared" si="15" ref="G201:G242">E201/H201</f>
        <v>0.3380084151472651</v>
      </c>
      <c r="H201" s="135">
        <v>28.52</v>
      </c>
      <c r="I201" s="151">
        <v>0.0374633333333333</v>
      </c>
      <c r="J201" s="152">
        <v>0.0330422222222222</v>
      </c>
      <c r="K201" s="135">
        <f t="shared" si="12"/>
        <v>134.657581710611</v>
      </c>
      <c r="L201" s="160" t="s">
        <v>80</v>
      </c>
      <c r="N201" s="174"/>
    </row>
    <row r="202" spans="2:14" s="105" customFormat="1" ht="15">
      <c r="B202" s="158">
        <v>43160</v>
      </c>
      <c r="C202" s="214">
        <v>10.238686623469436</v>
      </c>
      <c r="D202" s="197">
        <v>0.138686623469436</v>
      </c>
      <c r="E202" s="231">
        <f t="shared" si="13"/>
        <v>10.1</v>
      </c>
      <c r="F202" s="214">
        <f t="shared" si="14"/>
        <v>0.3606187173664918</v>
      </c>
      <c r="G202" s="215">
        <f t="shared" si="15"/>
        <v>0.35573400958016343</v>
      </c>
      <c r="H202" s="135">
        <v>28.392</v>
      </c>
      <c r="I202" s="151">
        <v>0.0391449479987882</v>
      </c>
      <c r="J202" s="152">
        <v>0.03457638229493187</v>
      </c>
      <c r="K202" s="135">
        <f t="shared" si="12"/>
        <v>134.83848447071634</v>
      </c>
      <c r="L202" s="160" t="s">
        <v>80</v>
      </c>
      <c r="N202" s="174"/>
    </row>
    <row r="203" spans="2:14" s="105" customFormat="1" ht="15">
      <c r="B203" s="158">
        <v>43191</v>
      </c>
      <c r="C203" s="214">
        <v>10.12202519107456</v>
      </c>
      <c r="D203" s="197">
        <v>0.142025191074559</v>
      </c>
      <c r="E203" s="231">
        <f t="shared" si="13"/>
        <v>9.98</v>
      </c>
      <c r="F203" s="214">
        <f t="shared" si="14"/>
        <v>0.35745400964348484</v>
      </c>
      <c r="G203" s="215">
        <f t="shared" si="15"/>
        <v>0.3524384645266095</v>
      </c>
      <c r="H203" s="135">
        <v>28.317</v>
      </c>
      <c r="I203" s="151">
        <v>0.03896645720475867</v>
      </c>
      <c r="J203" s="152">
        <v>0.03406576235973241</v>
      </c>
      <c r="K203" s="135">
        <f t="shared" si="12"/>
        <v>134.55991043371543</v>
      </c>
      <c r="L203" s="160" t="s">
        <v>80</v>
      </c>
      <c r="N203" s="174"/>
    </row>
    <row r="204" spans="2:14" s="105" customFormat="1" ht="15">
      <c r="B204" s="158">
        <v>43221</v>
      </c>
      <c r="C204" s="214">
        <v>10.372350674408318</v>
      </c>
      <c r="D204" s="197">
        <v>0.142350674408318</v>
      </c>
      <c r="E204" s="231">
        <f t="shared" si="13"/>
        <v>10.23</v>
      </c>
      <c r="F204" s="214">
        <f t="shared" si="14"/>
        <v>0.33938716950488573</v>
      </c>
      <c r="G204" s="215">
        <f t="shared" si="15"/>
        <v>0.3347294025260127</v>
      </c>
      <c r="H204" s="135">
        <v>30.562</v>
      </c>
      <c r="I204" s="151">
        <v>0.038774207974498605</v>
      </c>
      <c r="J204" s="152">
        <v>0.034436135383380105</v>
      </c>
      <c r="K204" s="135">
        <f t="shared" si="12"/>
        <v>137.5521942846922</v>
      </c>
      <c r="L204" s="160" t="s">
        <v>80</v>
      </c>
      <c r="N204" s="174"/>
    </row>
    <row r="205" spans="2:14" s="105" customFormat="1" ht="15">
      <c r="B205" s="158">
        <v>43252</v>
      </c>
      <c r="C205" s="214">
        <v>10.481409870916245</v>
      </c>
      <c r="D205" s="197">
        <v>0.141409870916245</v>
      </c>
      <c r="E205" s="231">
        <f t="shared" si="13"/>
        <v>10.34</v>
      </c>
      <c r="F205" s="214">
        <f t="shared" si="14"/>
        <v>0.334164696515853</v>
      </c>
      <c r="G205" s="215">
        <f t="shared" si="15"/>
        <v>0.32965631575591403</v>
      </c>
      <c r="H205" s="135">
        <v>31.366</v>
      </c>
      <c r="I205" s="151">
        <v>0.038874150611579214</v>
      </c>
      <c r="J205" s="152">
        <v>0.03468764298876996</v>
      </c>
      <c r="K205" s="135">
        <f t="shared" si="12"/>
        <v>138.33439330685238</v>
      </c>
      <c r="L205" s="160" t="s">
        <v>80</v>
      </c>
      <c r="N205" s="174"/>
    </row>
    <row r="206" spans="2:14" s="105" customFormat="1" ht="15">
      <c r="B206" s="158">
        <v>43282</v>
      </c>
      <c r="C206" s="214">
        <v>10.360291286642326</v>
      </c>
      <c r="D206" s="197">
        <v>0.140291286642325</v>
      </c>
      <c r="E206" s="231">
        <f t="shared" si="13"/>
        <v>10.22</v>
      </c>
      <c r="F206" s="214">
        <f t="shared" si="14"/>
        <v>0.3325936207589832</v>
      </c>
      <c r="G206" s="215">
        <f t="shared" si="15"/>
        <v>0.3280898876404495</v>
      </c>
      <c r="H206" s="135">
        <v>31.15</v>
      </c>
      <c r="I206" s="151">
        <v>0.03888120296029351</v>
      </c>
      <c r="J206" s="152">
        <v>0.03411382074286477</v>
      </c>
      <c r="K206" s="135">
        <f t="shared" si="12"/>
        <v>137.79754727738555</v>
      </c>
      <c r="L206" s="160" t="s">
        <v>80</v>
      </c>
      <c r="N206" s="174"/>
    </row>
    <row r="207" spans="2:14" s="105" customFormat="1" ht="15">
      <c r="B207" s="158">
        <v>43313</v>
      </c>
      <c r="C207" s="214">
        <v>9.98</v>
      </c>
      <c r="D207" s="197">
        <v>0</v>
      </c>
      <c r="E207" s="231">
        <f t="shared" si="13"/>
        <v>9.98</v>
      </c>
      <c r="F207" s="214">
        <f t="shared" si="14"/>
        <v>0.3185852007916747</v>
      </c>
      <c r="G207" s="215">
        <f t="shared" si="15"/>
        <v>0.3185852007916747</v>
      </c>
      <c r="H207" s="135">
        <v>31.326</v>
      </c>
      <c r="I207" s="151">
        <v>0.03805375931699189</v>
      </c>
      <c r="J207" s="152">
        <v>0.034231236364171656</v>
      </c>
      <c r="K207" s="135">
        <f t="shared" si="12"/>
        <v>134.0433142043393</v>
      </c>
      <c r="L207" s="160"/>
      <c r="N207" s="174"/>
    </row>
    <row r="208" spans="2:14" s="105" customFormat="1" ht="15">
      <c r="B208" s="158">
        <v>43344</v>
      </c>
      <c r="C208" s="214">
        <v>9.83</v>
      </c>
      <c r="D208" s="197">
        <v>0</v>
      </c>
      <c r="E208" s="231">
        <f t="shared" si="13"/>
        <v>9.83</v>
      </c>
      <c r="F208" s="214">
        <f t="shared" si="14"/>
        <v>0.29909328789630624</v>
      </c>
      <c r="G208" s="215">
        <f t="shared" si="15"/>
        <v>0.29909328789630624</v>
      </c>
      <c r="H208" s="135">
        <v>32.866</v>
      </c>
      <c r="I208" s="151">
        <v>0.037414030875804895</v>
      </c>
      <c r="J208" s="152">
        <v>0.033860148714465105</v>
      </c>
      <c r="K208" s="135">
        <f t="shared" si="12"/>
        <v>133.90107575073662</v>
      </c>
      <c r="L208" s="160"/>
      <c r="N208" s="174"/>
    </row>
    <row r="209" spans="2:14" s="105" customFormat="1" ht="15">
      <c r="B209" s="158">
        <v>43374</v>
      </c>
      <c r="C209" s="214">
        <v>9.75</v>
      </c>
      <c r="D209" s="197">
        <v>0</v>
      </c>
      <c r="E209" s="231">
        <f t="shared" si="13"/>
        <v>9.75</v>
      </c>
      <c r="F209" s="214">
        <f t="shared" si="14"/>
        <v>0.2964787447546068</v>
      </c>
      <c r="G209" s="215">
        <f t="shared" si="15"/>
        <v>0.2964787447546068</v>
      </c>
      <c r="H209" s="135">
        <v>32.886</v>
      </c>
      <c r="I209" s="151">
        <v>0.03716888342388084</v>
      </c>
      <c r="J209" s="152">
        <v>0.03343693707231574</v>
      </c>
      <c r="K209" s="135">
        <f t="shared" si="12"/>
        <v>134.0685420968325</v>
      </c>
      <c r="L209" s="160"/>
      <c r="N209" s="174"/>
    </row>
    <row r="210" spans="2:14" s="105" customFormat="1" ht="15">
      <c r="B210" s="158">
        <v>43405</v>
      </c>
      <c r="C210" s="214">
        <v>9.43</v>
      </c>
      <c r="D210" s="197">
        <v>0</v>
      </c>
      <c r="E210" s="231">
        <f t="shared" si="13"/>
        <v>9.43</v>
      </c>
      <c r="F210" s="214">
        <f t="shared" si="14"/>
        <v>0.2898238927989673</v>
      </c>
      <c r="G210" s="215">
        <f t="shared" si="15"/>
        <v>0.2898238927989673</v>
      </c>
      <c r="H210" s="135">
        <v>32.537</v>
      </c>
      <c r="I210" s="151">
        <v>0.036710262631146</v>
      </c>
      <c r="J210" s="152">
        <v>0.033184630792155</v>
      </c>
      <c r="K210" s="135">
        <f t="shared" si="12"/>
        <v>130.98724895935115</v>
      </c>
      <c r="L210" s="160"/>
      <c r="N210" s="174"/>
    </row>
    <row r="211" spans="2:14" s="105" customFormat="1" ht="15">
      <c r="B211" s="167">
        <v>43435</v>
      </c>
      <c r="C211" s="219">
        <v>9.46</v>
      </c>
      <c r="D211" s="220">
        <v>0</v>
      </c>
      <c r="E211" s="233">
        <f t="shared" si="13"/>
        <v>9.46</v>
      </c>
      <c r="F211" s="237">
        <f t="shared" si="14"/>
        <v>0.2936611411187683</v>
      </c>
      <c r="G211" s="221">
        <f t="shared" si="15"/>
        <v>0.2936611411187683</v>
      </c>
      <c r="H211" s="172">
        <v>32.214</v>
      </c>
      <c r="I211" s="161">
        <v>0.03718247009850685</v>
      </c>
      <c r="J211" s="162">
        <v>0.03306849245864689</v>
      </c>
      <c r="K211" s="172">
        <f t="shared" si="12"/>
        <v>130.73793845807185</v>
      </c>
      <c r="L211" s="160"/>
      <c r="N211" s="174"/>
    </row>
    <row r="212" spans="2:12" s="105" customFormat="1" ht="15">
      <c r="B212" s="164">
        <v>43466</v>
      </c>
      <c r="C212" s="223">
        <v>9.43</v>
      </c>
      <c r="D212" s="224">
        <v>0</v>
      </c>
      <c r="E212" s="235">
        <f t="shared" si="13"/>
        <v>9.43</v>
      </c>
      <c r="F212" s="216">
        <f t="shared" si="14"/>
        <v>0.2892815510153997</v>
      </c>
      <c r="G212" s="218">
        <f t="shared" si="15"/>
        <v>0.2892815510153997</v>
      </c>
      <c r="H212" s="133">
        <v>32.598</v>
      </c>
      <c r="I212" s="149">
        <v>0.037683616746510516</v>
      </c>
      <c r="J212" s="150">
        <v>0.03296543732669204</v>
      </c>
      <c r="K212" s="133">
        <f t="shared" si="12"/>
        <v>129.58899345402412</v>
      </c>
      <c r="L212" s="166"/>
    </row>
    <row r="213" spans="2:12" s="105" customFormat="1" ht="15">
      <c r="B213" s="158">
        <v>43497</v>
      </c>
      <c r="C213" s="214">
        <v>9.67</v>
      </c>
      <c r="D213" s="197">
        <v>0.08</v>
      </c>
      <c r="E213" s="231">
        <f t="shared" si="13"/>
        <v>9.59</v>
      </c>
      <c r="F213" s="214">
        <f t="shared" si="14"/>
        <v>0.2965348052744557</v>
      </c>
      <c r="G213" s="215">
        <f t="shared" si="15"/>
        <v>0.29408157007053054</v>
      </c>
      <c r="H213" s="134">
        <v>32.61</v>
      </c>
      <c r="I213" s="151">
        <v>0.03835259851998182</v>
      </c>
      <c r="J213" s="152">
        <v>0.03369471998293198</v>
      </c>
      <c r="K213" s="135">
        <f t="shared" si="12"/>
        <v>130.30810458523055</v>
      </c>
      <c r="L213" s="160" t="s">
        <v>65</v>
      </c>
    </row>
    <row r="214" spans="2:12" s="105" customFormat="1" ht="15">
      <c r="B214" s="158">
        <v>43525</v>
      </c>
      <c r="C214" s="214">
        <v>10.1</v>
      </c>
      <c r="D214" s="197">
        <v>0.1</v>
      </c>
      <c r="E214" s="231">
        <f t="shared" si="13"/>
        <v>10</v>
      </c>
      <c r="F214" s="214">
        <f t="shared" si="14"/>
        <v>0.3031849428151172</v>
      </c>
      <c r="G214" s="215">
        <f t="shared" si="15"/>
        <v>0.30018311169813583</v>
      </c>
      <c r="H214" s="134">
        <v>33.313</v>
      </c>
      <c r="I214" s="151">
        <v>0.03902956152406674</v>
      </c>
      <c r="J214" s="152">
        <v>0.034760915937600556</v>
      </c>
      <c r="K214" s="135">
        <f t="shared" si="12"/>
        <v>132.88740742750147</v>
      </c>
      <c r="L214" s="160" t="s">
        <v>66</v>
      </c>
    </row>
    <row r="215" spans="2:12" s="105" customFormat="1" ht="15">
      <c r="B215" s="158">
        <v>43556</v>
      </c>
      <c r="C215" s="222">
        <v>10.53</v>
      </c>
      <c r="D215" s="198">
        <v>0.12</v>
      </c>
      <c r="E215" s="234">
        <f t="shared" si="13"/>
        <v>10.41</v>
      </c>
      <c r="F215" s="214">
        <f t="shared" si="14"/>
        <v>0.3084719943754394</v>
      </c>
      <c r="G215" s="215">
        <f t="shared" si="15"/>
        <v>0.30495664401218653</v>
      </c>
      <c r="H215" s="134">
        <v>34.136</v>
      </c>
      <c r="I215" s="151">
        <v>0.03908680521485916</v>
      </c>
      <c r="J215" s="152">
        <v>0.03432032767241249</v>
      </c>
      <c r="K215" s="134">
        <f t="shared" si="12"/>
        <v>139.2684957001834</v>
      </c>
      <c r="L215" s="160" t="s">
        <v>67</v>
      </c>
    </row>
    <row r="216" spans="2:12" s="105" customFormat="1" ht="15">
      <c r="B216" s="158">
        <v>43586</v>
      </c>
      <c r="C216" s="222">
        <v>10.62</v>
      </c>
      <c r="D216" s="198">
        <v>0.11</v>
      </c>
      <c r="E216" s="234">
        <f t="shared" si="13"/>
        <v>10.51</v>
      </c>
      <c r="F216" s="214">
        <f t="shared" si="14"/>
        <v>0.30202201177373944</v>
      </c>
      <c r="G216" s="215">
        <f t="shared" si="15"/>
        <v>0.29889372351619603</v>
      </c>
      <c r="H216" s="134">
        <v>35.163</v>
      </c>
      <c r="I216" s="151">
        <v>0.03975194096632447</v>
      </c>
      <c r="J216" s="152">
        <v>0.0346343867060941</v>
      </c>
      <c r="K216" s="134">
        <f t="shared" si="12"/>
        <v>138.60987542033942</v>
      </c>
      <c r="L216" s="160" t="s">
        <v>68</v>
      </c>
    </row>
    <row r="217" spans="2:12" s="105" customFormat="1" ht="15">
      <c r="B217" s="158">
        <v>43617</v>
      </c>
      <c r="C217" s="222">
        <v>10.899999999999999</v>
      </c>
      <c r="D217" s="198">
        <v>0.11</v>
      </c>
      <c r="E217" s="234">
        <f t="shared" si="13"/>
        <v>10.79</v>
      </c>
      <c r="F217" s="214">
        <f t="shared" si="14"/>
        <v>0.3092198581560283</v>
      </c>
      <c r="G217" s="215">
        <f t="shared" si="15"/>
        <v>0.3060992907801418</v>
      </c>
      <c r="H217" s="135">
        <v>35.25</v>
      </c>
      <c r="I217" s="151">
        <v>0.03823760204820488</v>
      </c>
      <c r="J217" s="152">
        <v>0.03434105004538754</v>
      </c>
      <c r="K217" s="134">
        <f t="shared" si="12"/>
        <v>145.80767163047014</v>
      </c>
      <c r="L217" s="160" t="s">
        <v>68</v>
      </c>
    </row>
    <row r="218" spans="2:12" s="105" customFormat="1" ht="15">
      <c r="B218" s="158">
        <v>43647</v>
      </c>
      <c r="C218" s="222">
        <v>10.77</v>
      </c>
      <c r="D218" s="198">
        <v>0.09</v>
      </c>
      <c r="E218" s="234">
        <f t="shared" si="13"/>
        <v>10.68</v>
      </c>
      <c r="F218" s="214">
        <f t="shared" si="14"/>
        <v>0.30927835051546393</v>
      </c>
      <c r="G218" s="215">
        <f t="shared" si="15"/>
        <v>0.3066938517646383</v>
      </c>
      <c r="H218" s="135">
        <v>34.823</v>
      </c>
      <c r="I218" s="151">
        <v>0.038150684086623414</v>
      </c>
      <c r="J218" s="152">
        <v>0.03435961938614345</v>
      </c>
      <c r="K218" s="134">
        <f t="shared" si="12"/>
        <v>144.204481002328</v>
      </c>
      <c r="L218" s="160" t="s">
        <v>69</v>
      </c>
    </row>
    <row r="219" spans="2:12" s="105" customFormat="1" ht="15">
      <c r="B219" s="158">
        <v>43678</v>
      </c>
      <c r="C219" s="222">
        <v>11.065999999999999</v>
      </c>
      <c r="D219" s="198">
        <v>0.126</v>
      </c>
      <c r="E219" s="234">
        <f t="shared" si="13"/>
        <v>10.94</v>
      </c>
      <c r="F219" s="214">
        <f t="shared" si="14"/>
        <v>0.3077821661011292</v>
      </c>
      <c r="G219" s="215">
        <f t="shared" si="15"/>
        <v>0.3042776881570896</v>
      </c>
      <c r="H219" s="135">
        <v>35.954</v>
      </c>
      <c r="I219" s="151">
        <v>0.037679358512912056</v>
      </c>
      <c r="J219" s="152">
        <v>0.03428137109832948</v>
      </c>
      <c r="K219" s="134">
        <f t="shared" si="12"/>
        <v>149.29933838122167</v>
      </c>
      <c r="L219" s="160" t="s">
        <v>70</v>
      </c>
    </row>
    <row r="220" spans="2:12" s="105" customFormat="1" ht="15">
      <c r="B220" s="158">
        <v>43709</v>
      </c>
      <c r="C220" s="222">
        <v>11.228</v>
      </c>
      <c r="D220" s="198">
        <v>0.128</v>
      </c>
      <c r="E220" s="234">
        <f t="shared" si="13"/>
        <v>11.1</v>
      </c>
      <c r="F220" s="214">
        <f t="shared" si="14"/>
        <v>0.30601509907061675</v>
      </c>
      <c r="G220" s="215">
        <f t="shared" si="15"/>
        <v>0.3025265051374996</v>
      </c>
      <c r="H220" s="135">
        <v>36.691</v>
      </c>
      <c r="I220" s="151">
        <v>0.03724004631475339</v>
      </c>
      <c r="J220" s="152">
        <v>0.03489627730598962</v>
      </c>
      <c r="K220" s="134">
        <f t="shared" si="12"/>
        <v>151.11625221016672</v>
      </c>
      <c r="L220" s="160" t="s">
        <v>71</v>
      </c>
    </row>
    <row r="221" spans="2:12" s="105" customFormat="1" ht="15">
      <c r="B221" s="158">
        <v>43739</v>
      </c>
      <c r="C221" s="222">
        <v>11.340000000000002</v>
      </c>
      <c r="D221" s="198">
        <v>0.13</v>
      </c>
      <c r="E221" s="234">
        <f t="shared" si="13"/>
        <v>11.21</v>
      </c>
      <c r="F221" s="214">
        <f t="shared" si="14"/>
        <v>0.3040132972306373</v>
      </c>
      <c r="G221" s="215">
        <f t="shared" si="15"/>
        <v>0.30052813597490685</v>
      </c>
      <c r="H221" s="135">
        <v>37.301</v>
      </c>
      <c r="I221" s="151">
        <v>0.0374225721414845</v>
      </c>
      <c r="J221" s="152">
        <v>0.03452640773601025</v>
      </c>
      <c r="K221" s="134">
        <f t="shared" si="12"/>
        <v>153.02105403870857</v>
      </c>
      <c r="L221" s="160" t="s">
        <v>72</v>
      </c>
    </row>
    <row r="222" spans="2:12" s="105" customFormat="1" ht="15">
      <c r="B222" s="158">
        <v>43770</v>
      </c>
      <c r="C222" s="222">
        <v>11.271</v>
      </c>
      <c r="D222" s="198">
        <v>0.131</v>
      </c>
      <c r="E222" s="234">
        <f t="shared" si="13"/>
        <v>11.14</v>
      </c>
      <c r="F222" s="214">
        <f t="shared" si="14"/>
        <v>0.29945003852387153</v>
      </c>
      <c r="G222" s="215">
        <f t="shared" si="15"/>
        <v>0.295969605993783</v>
      </c>
      <c r="H222" s="135">
        <v>37.639</v>
      </c>
      <c r="I222" s="151">
        <v>0.03659264306288952</v>
      </c>
      <c r="J222" s="152">
        <v>0.03341746801593613</v>
      </c>
      <c r="K222" s="134">
        <f t="shared" si="12"/>
        <v>156.30197235769754</v>
      </c>
      <c r="L222" s="160" t="s">
        <v>73</v>
      </c>
    </row>
    <row r="223" spans="2:12" s="105" customFormat="1" ht="15">
      <c r="B223" s="167">
        <v>43800</v>
      </c>
      <c r="C223" s="219">
        <v>11.702</v>
      </c>
      <c r="D223" s="220">
        <f>0.291+0.131</f>
        <v>0.422</v>
      </c>
      <c r="E223" s="233">
        <f t="shared" si="13"/>
        <v>11.28</v>
      </c>
      <c r="F223" s="237">
        <f t="shared" si="14"/>
        <v>0.31134761207928696</v>
      </c>
      <c r="G223" s="221">
        <f t="shared" si="15"/>
        <v>0.30011972861513897</v>
      </c>
      <c r="H223" s="172">
        <v>37.585</v>
      </c>
      <c r="I223" s="161">
        <v>0.03753872260167412</v>
      </c>
      <c r="J223" s="162">
        <v>0.03265825485397235</v>
      </c>
      <c r="K223" s="172">
        <f t="shared" si="12"/>
        <v>161.84692646805448</v>
      </c>
      <c r="L223" s="154" t="s">
        <v>74</v>
      </c>
    </row>
    <row r="224" spans="2:12" s="105" customFormat="1" ht="15">
      <c r="B224" s="158">
        <v>43831</v>
      </c>
      <c r="C224" s="222">
        <f aca="true" t="shared" si="16" ref="C224:C235">E224+D224</f>
        <v>12.052000000000001</v>
      </c>
      <c r="D224" s="198">
        <f>0.287+0.125</f>
        <v>0.412</v>
      </c>
      <c r="E224" s="234">
        <v>11.64</v>
      </c>
      <c r="F224" s="214">
        <f t="shared" si="14"/>
        <v>0.3206001276867419</v>
      </c>
      <c r="G224" s="215">
        <f aca="true" t="shared" si="17" ref="G224:G235">E224/H224</f>
        <v>0.30964034901042775</v>
      </c>
      <c r="H224" s="135">
        <v>37.592</v>
      </c>
      <c r="I224" s="151">
        <v>0.03739749596965185</v>
      </c>
      <c r="J224" s="152">
        <v>0.0332337826354775</v>
      </c>
      <c r="K224" s="134">
        <f t="shared" si="12"/>
        <v>165.66273618238966</v>
      </c>
      <c r="L224" s="153" t="s">
        <v>75</v>
      </c>
    </row>
    <row r="225" spans="2:12" s="105" customFormat="1" ht="15">
      <c r="B225" s="158">
        <v>43862</v>
      </c>
      <c r="C225" s="222">
        <f t="shared" si="16"/>
        <v>12.327</v>
      </c>
      <c r="D225" s="198">
        <f>0.285+0.122</f>
        <v>0.407</v>
      </c>
      <c r="E225" s="234">
        <v>11.92</v>
      </c>
      <c r="F225" s="214">
        <f t="shared" si="14"/>
        <v>0.3240195563032279</v>
      </c>
      <c r="G225" s="215">
        <f t="shared" si="17"/>
        <v>0.31332141730627694</v>
      </c>
      <c r="H225" s="135">
        <v>38.044</v>
      </c>
      <c r="I225" s="151">
        <v>0.03800702831694914</v>
      </c>
      <c r="J225" s="152">
        <v>0.03397525562610112</v>
      </c>
      <c r="K225" s="134">
        <f t="shared" si="12"/>
        <v>166.2625928140479</v>
      </c>
      <c r="L225" s="153" t="s">
        <v>76</v>
      </c>
    </row>
    <row r="226" spans="2:12" s="105" customFormat="1" ht="15">
      <c r="B226" s="158">
        <v>43891</v>
      </c>
      <c r="C226" s="222">
        <f t="shared" si="16"/>
        <v>12.225999999999999</v>
      </c>
      <c r="D226" s="198">
        <v>0.126</v>
      </c>
      <c r="E226" s="234">
        <v>12.1</v>
      </c>
      <c r="F226" s="214">
        <f t="shared" si="14"/>
        <v>0.28207553699559323</v>
      </c>
      <c r="G226" s="215">
        <f t="shared" si="17"/>
        <v>0.2791684931822901</v>
      </c>
      <c r="H226" s="135">
        <v>43.343</v>
      </c>
      <c r="I226" s="151">
        <v>0.0392396783704749</v>
      </c>
      <c r="J226" s="152">
        <v>0.034167390312465976</v>
      </c>
      <c r="K226" s="134">
        <f t="shared" si="12"/>
        <v>161.69972627417846</v>
      </c>
      <c r="L226" s="153" t="s">
        <v>70</v>
      </c>
    </row>
    <row r="227" spans="2:12" s="105" customFormat="1" ht="15">
      <c r="B227" s="158">
        <v>43922</v>
      </c>
      <c r="C227" s="222">
        <f t="shared" si="16"/>
        <v>12.437000000000001</v>
      </c>
      <c r="D227" s="198">
        <v>0.127</v>
      </c>
      <c r="E227" s="234">
        <v>12.31</v>
      </c>
      <c r="F227" s="214">
        <f t="shared" si="14"/>
        <v>0.2866262589016156</v>
      </c>
      <c r="G227" s="215">
        <f t="shared" si="17"/>
        <v>0.2836993846650227</v>
      </c>
      <c r="H227" s="135">
        <v>43.391</v>
      </c>
      <c r="I227" s="151">
        <v>0.03961769921485941</v>
      </c>
      <c r="J227" s="152">
        <v>0.03462930027303626</v>
      </c>
      <c r="K227" s="134">
        <f t="shared" si="12"/>
        <v>162.62956570415912</v>
      </c>
      <c r="L227" s="153" t="s">
        <v>77</v>
      </c>
    </row>
    <row r="228" spans="2:12" s="105" customFormat="1" ht="15">
      <c r="B228" s="158">
        <v>43952</v>
      </c>
      <c r="C228" s="222">
        <f t="shared" si="16"/>
        <v>12.649</v>
      </c>
      <c r="D228" s="198">
        <v>0.129</v>
      </c>
      <c r="E228" s="234">
        <v>12.52</v>
      </c>
      <c r="F228" s="214">
        <f t="shared" si="14"/>
        <v>0.2912502878194796</v>
      </c>
      <c r="G228" s="215">
        <f t="shared" si="17"/>
        <v>0.2882799907897766</v>
      </c>
      <c r="H228" s="135">
        <v>43.43</v>
      </c>
      <c r="I228" s="151">
        <v>0.039949612633145316</v>
      </c>
      <c r="J228" s="152">
        <v>0.03539420868170161</v>
      </c>
      <c r="K228" s="134">
        <f t="shared" si="12"/>
        <v>162.9938900092911</v>
      </c>
      <c r="L228" s="153" t="s">
        <v>78</v>
      </c>
    </row>
    <row r="229" spans="2:12" s="105" customFormat="1" ht="15">
      <c r="B229" s="40">
        <v>43983</v>
      </c>
      <c r="C229" s="222">
        <f t="shared" si="16"/>
        <v>12.28</v>
      </c>
      <c r="D229" s="198">
        <v>0</v>
      </c>
      <c r="E229" s="234">
        <v>12.28</v>
      </c>
      <c r="F229" s="214">
        <f t="shared" si="14"/>
        <v>0.28842540398346483</v>
      </c>
      <c r="G229" s="215">
        <f t="shared" si="17"/>
        <v>0.28842540398346483</v>
      </c>
      <c r="H229" s="131">
        <v>42.576</v>
      </c>
      <c r="I229" s="145">
        <v>0.03880706870147061</v>
      </c>
      <c r="J229" s="146">
        <v>0.034743063102669135</v>
      </c>
      <c r="K229" s="134">
        <f t="shared" si="12"/>
        <v>162.09801131065183</v>
      </c>
      <c r="L229" s="153"/>
    </row>
    <row r="230" spans="2:12" s="105" customFormat="1" ht="15">
      <c r="B230" s="40">
        <v>44013</v>
      </c>
      <c r="C230" s="222">
        <f t="shared" si="16"/>
        <v>12.32</v>
      </c>
      <c r="D230" s="198">
        <v>0</v>
      </c>
      <c r="E230" s="234">
        <v>12.32</v>
      </c>
      <c r="F230" s="214">
        <f t="shared" si="14"/>
        <v>0.2893649004133784</v>
      </c>
      <c r="G230" s="215">
        <f t="shared" si="17"/>
        <v>0.2893649004133784</v>
      </c>
      <c r="H230" s="131">
        <v>42.576</v>
      </c>
      <c r="I230" s="145">
        <v>0.03804610424946977</v>
      </c>
      <c r="J230" s="146">
        <v>0.035099079330957544</v>
      </c>
      <c r="K230" s="134">
        <f t="shared" si="12"/>
        <v>163.52635215402395</v>
      </c>
      <c r="L230" s="153"/>
    </row>
    <row r="231" spans="2:12" s="105" customFormat="1" ht="15">
      <c r="B231" s="40">
        <v>44044</v>
      </c>
      <c r="C231" s="222">
        <f t="shared" si="16"/>
        <v>12.38281762566938</v>
      </c>
      <c r="D231" s="198">
        <v>0.2028176256693809</v>
      </c>
      <c r="E231" s="234">
        <v>12.18</v>
      </c>
      <c r="F231" s="214">
        <f t="shared" si="14"/>
        <v>0.2902200207577139</v>
      </c>
      <c r="G231" s="215">
        <f t="shared" si="17"/>
        <v>0.2854665197928141</v>
      </c>
      <c r="H231" s="182">
        <v>42.667</v>
      </c>
      <c r="I231" s="145">
        <v>0.037302643204279756</v>
      </c>
      <c r="J231" s="146">
        <v>0.03520181129852909</v>
      </c>
      <c r="K231" s="134">
        <f t="shared" si="12"/>
        <v>165.8126127156053</v>
      </c>
      <c r="L231" s="153"/>
    </row>
    <row r="232" spans="2:12" s="105" customFormat="1" ht="15">
      <c r="B232" s="40">
        <v>44075</v>
      </c>
      <c r="C232" s="222">
        <f t="shared" si="16"/>
        <v>12.87270053164419</v>
      </c>
      <c r="D232" s="198">
        <v>0.20270053164419014</v>
      </c>
      <c r="E232" s="234">
        <v>12.67</v>
      </c>
      <c r="F232" s="214">
        <f t="shared" si="14"/>
        <v>0.30295122571001365</v>
      </c>
      <c r="G232" s="215">
        <f t="shared" si="17"/>
        <v>0.29818079122637736</v>
      </c>
      <c r="H232" s="182">
        <v>42.491</v>
      </c>
      <c r="I232" s="145">
        <v>0.037648015627409374</v>
      </c>
      <c r="J232" s="146">
        <v>0.03519048042004437</v>
      </c>
      <c r="K232" s="134">
        <f t="shared" si="12"/>
        <v>171.58189947124205</v>
      </c>
      <c r="L232" s="153"/>
    </row>
    <row r="233" spans="2:12" s="105" customFormat="1" ht="15">
      <c r="B233" s="40">
        <v>44105</v>
      </c>
      <c r="C233" s="222">
        <f t="shared" si="16"/>
        <v>12.853559696823819</v>
      </c>
      <c r="D233" s="198">
        <v>0.2035596968238182</v>
      </c>
      <c r="E233" s="234">
        <v>12.65</v>
      </c>
      <c r="F233" s="214">
        <f t="shared" si="14"/>
        <v>0.30111180679888067</v>
      </c>
      <c r="G233" s="215">
        <f t="shared" si="17"/>
        <v>0.2963431489680699</v>
      </c>
      <c r="H233" s="182">
        <v>42.687</v>
      </c>
      <c r="I233" s="145">
        <v>0.037425891396686915</v>
      </c>
      <c r="J233" s="146">
        <v>0.03452523748146483</v>
      </c>
      <c r="K233" s="134">
        <f t="shared" si="12"/>
        <v>173.43972730166524</v>
      </c>
      <c r="L233" s="153"/>
    </row>
    <row r="234" spans="2:12" s="105" customFormat="1" ht="15">
      <c r="B234" s="40">
        <v>44136</v>
      </c>
      <c r="C234" s="222">
        <f t="shared" si="16"/>
        <v>12.91408255244855</v>
      </c>
      <c r="D234" s="198">
        <v>0.2040825524485487</v>
      </c>
      <c r="E234" s="234">
        <v>12.71</v>
      </c>
      <c r="F234" s="214">
        <f t="shared" si="14"/>
        <v>0.3022251943002235</v>
      </c>
      <c r="G234" s="215">
        <f t="shared" si="17"/>
        <v>0.29744909899368127</v>
      </c>
      <c r="H234" s="182">
        <v>42.73</v>
      </c>
      <c r="I234" s="145">
        <v>0.03666161863335224</v>
      </c>
      <c r="J234" s="146">
        <v>0.03352549194237858</v>
      </c>
      <c r="K234" s="134">
        <f t="shared" si="12"/>
        <v>178.63599345851333</v>
      </c>
      <c r="L234" s="153"/>
    </row>
    <row r="235" spans="2:20" s="65" customFormat="1" ht="15">
      <c r="B235" s="167">
        <v>44166</v>
      </c>
      <c r="C235" s="219">
        <f t="shared" si="16"/>
        <v>13.023386609161715</v>
      </c>
      <c r="D235" s="220">
        <v>0.2033866091617146</v>
      </c>
      <c r="E235" s="233">
        <v>12.82</v>
      </c>
      <c r="F235" s="237">
        <f t="shared" si="14"/>
        <v>0.3071843242089281</v>
      </c>
      <c r="G235" s="221">
        <f t="shared" si="17"/>
        <v>0.3023870176431739</v>
      </c>
      <c r="H235" s="172">
        <v>42.396</v>
      </c>
      <c r="I235" s="161">
        <v>0.037487889888289494</v>
      </c>
      <c r="J235" s="162">
        <v>0.033334936075760414</v>
      </c>
      <c r="K235" s="172">
        <f t="shared" si="12"/>
        <v>178.5309255452084</v>
      </c>
      <c r="L235" s="154"/>
      <c r="M235" s="1"/>
      <c r="N235" s="105"/>
      <c r="O235" s="29"/>
      <c r="P235" s="1"/>
      <c r="Q235" s="1"/>
      <c r="T235" s="74"/>
    </row>
    <row r="236" spans="2:20" s="65" customFormat="1" ht="15">
      <c r="B236" s="164">
        <v>44197</v>
      </c>
      <c r="C236" s="223">
        <f aca="true" t="shared" si="18" ref="C236:C242">E236+D236</f>
        <v>13.53295692504881</v>
      </c>
      <c r="D236" s="224">
        <v>0.20295692504880927</v>
      </c>
      <c r="E236" s="235">
        <v>13.33</v>
      </c>
      <c r="F236" s="216">
        <f>C236/H236</f>
        <v>0.3200037106892601</v>
      </c>
      <c r="G236" s="218">
        <f t="shared" si="15"/>
        <v>0.3152045400803973</v>
      </c>
      <c r="H236" s="165">
        <v>42.29</v>
      </c>
      <c r="I236" s="149">
        <v>0.037789499842258024</v>
      </c>
      <c r="J236" s="150">
        <v>0.03368155105779607</v>
      </c>
      <c r="K236" s="223">
        <f t="shared" si="12"/>
        <v>183.83377557283694</v>
      </c>
      <c r="L236" s="273"/>
      <c r="M236" s="1"/>
      <c r="N236" s="105"/>
      <c r="O236" s="29"/>
      <c r="P236" s="1"/>
      <c r="Q236" s="1"/>
      <c r="T236" s="74"/>
    </row>
    <row r="237" spans="2:20" s="248" customFormat="1" ht="15">
      <c r="B237" s="40">
        <v>44228</v>
      </c>
      <c r="C237" s="222">
        <f t="shared" si="18"/>
        <v>13.953121174889304</v>
      </c>
      <c r="D237" s="198">
        <v>0.20312117488930376</v>
      </c>
      <c r="E237" s="234">
        <v>13.75</v>
      </c>
      <c r="F237" s="214">
        <f aca="true" t="shared" si="19" ref="F237:F242">C237/H237</f>
        <v>0.3265415673973626</v>
      </c>
      <c r="G237" s="215">
        <f t="shared" si="15"/>
        <v>0.3217879709805757</v>
      </c>
      <c r="H237" s="182">
        <v>42.73</v>
      </c>
      <c r="I237" s="145">
        <v>0.03877011854529167</v>
      </c>
      <c r="J237" s="146">
        <v>0.034587439972645594</v>
      </c>
      <c r="K237" s="222">
        <f t="shared" si="12"/>
        <v>184.66699084537754</v>
      </c>
      <c r="L237" s="274"/>
      <c r="M237" s="249"/>
      <c r="N237" s="246"/>
      <c r="O237" s="250"/>
      <c r="P237" s="249"/>
      <c r="Q237" s="249"/>
      <c r="T237" s="251"/>
    </row>
    <row r="238" spans="2:20" s="248" customFormat="1" ht="15">
      <c r="B238" s="40">
        <v>44256</v>
      </c>
      <c r="C238" s="222">
        <f t="shared" si="18"/>
        <v>14.163758744714405</v>
      </c>
      <c r="D238" s="198">
        <v>0.16375874471440605</v>
      </c>
      <c r="E238" s="234">
        <v>14</v>
      </c>
      <c r="F238" s="214">
        <f t="shared" si="19"/>
        <v>0.3199837056008134</v>
      </c>
      <c r="G238" s="215">
        <f t="shared" si="15"/>
        <v>0.31628411350081326</v>
      </c>
      <c r="H238" s="182">
        <v>44.264</v>
      </c>
      <c r="I238" s="145">
        <v>0.03965221808488168</v>
      </c>
      <c r="J238" s="146">
        <v>0.034922349541397786</v>
      </c>
      <c r="K238" s="222">
        <f t="shared" si="12"/>
        <v>184.39559919622218</v>
      </c>
      <c r="L238" s="274"/>
      <c r="M238" s="249"/>
      <c r="N238" s="246"/>
      <c r="O238" s="250"/>
      <c r="P238" s="249"/>
      <c r="Q238" s="249"/>
      <c r="T238" s="251"/>
    </row>
    <row r="239" spans="2:20" s="105" customFormat="1" ht="15">
      <c r="B239" s="40">
        <v>44287</v>
      </c>
      <c r="C239" s="222">
        <f t="shared" si="18"/>
        <v>15.079548290623649</v>
      </c>
      <c r="D239" s="198">
        <v>0.16954829062364893</v>
      </c>
      <c r="E239" s="234">
        <v>14.91</v>
      </c>
      <c r="F239" s="214">
        <f t="shared" si="19"/>
        <v>0.342017425507454</v>
      </c>
      <c r="G239" s="215">
        <f t="shared" si="15"/>
        <v>0.3381719210705375</v>
      </c>
      <c r="H239" s="182">
        <v>44.09</v>
      </c>
      <c r="I239" s="145">
        <v>0.04003982141004441</v>
      </c>
      <c r="J239" s="146">
        <v>0.034626681416332086</v>
      </c>
      <c r="K239" s="222">
        <f t="shared" si="12"/>
        <v>196.07638756404626</v>
      </c>
      <c r="L239" s="274"/>
      <c r="M239" s="191"/>
      <c r="O239" s="192"/>
      <c r="P239" s="191"/>
      <c r="Q239" s="191"/>
      <c r="T239" s="193"/>
    </row>
    <row r="240" spans="2:20" s="105" customFormat="1" ht="15">
      <c r="B240" s="40">
        <v>44317</v>
      </c>
      <c r="C240" s="222">
        <f t="shared" si="18"/>
        <v>15.571597445714275</v>
      </c>
      <c r="D240" s="198">
        <f>0.00203673211762163+0.209560713596654</f>
        <v>0.21159744571427563</v>
      </c>
      <c r="E240" s="234">
        <v>15.36</v>
      </c>
      <c r="F240" s="214">
        <f t="shared" si="19"/>
        <v>0.3540206307994606</v>
      </c>
      <c r="G240" s="215">
        <f t="shared" si="15"/>
        <v>0.34920995794020687</v>
      </c>
      <c r="H240" s="182">
        <v>43.985</v>
      </c>
      <c r="I240" s="145">
        <v>0.03989288377949316</v>
      </c>
      <c r="J240" s="146">
        <v>0.03490213934146263</v>
      </c>
      <c r="K240" s="222">
        <f t="shared" si="12"/>
        <v>202.1264937386243</v>
      </c>
      <c r="L240" s="274"/>
      <c r="M240" s="191"/>
      <c r="O240" s="192"/>
      <c r="P240" s="191"/>
      <c r="Q240" s="191"/>
      <c r="T240" s="193"/>
    </row>
    <row r="241" spans="2:20" s="105" customFormat="1" ht="15">
      <c r="B241" s="40">
        <v>44348</v>
      </c>
      <c r="C241" s="222">
        <f t="shared" si="18"/>
        <v>15.486103435299105</v>
      </c>
      <c r="D241" s="198">
        <f>0.00118985258586109+0.174913582713243</f>
        <v>0.1761034352991041</v>
      </c>
      <c r="E241" s="234">
        <v>15.31</v>
      </c>
      <c r="F241" s="214">
        <f t="shared" si="19"/>
        <v>0.3551858586077776</v>
      </c>
      <c r="G241" s="215">
        <f t="shared" si="15"/>
        <v>0.3511467889908257</v>
      </c>
      <c r="H241" s="134">
        <v>43.6</v>
      </c>
      <c r="I241" s="151">
        <v>0.039796523892949194</v>
      </c>
      <c r="J241" s="152">
        <v>0.03455466314606621</v>
      </c>
      <c r="K241" s="222">
        <f t="shared" si="12"/>
        <v>202.21670262025006</v>
      </c>
      <c r="L241" s="274"/>
      <c r="M241" s="191"/>
      <c r="O241" s="192"/>
      <c r="P241" s="191"/>
      <c r="Q241" s="191"/>
      <c r="T241" s="193"/>
    </row>
    <row r="242" spans="2:20" s="105" customFormat="1" ht="15">
      <c r="B242" s="40">
        <v>44378</v>
      </c>
      <c r="C242" s="222">
        <f t="shared" si="18"/>
        <v>15.34</v>
      </c>
      <c r="D242" s="198">
        <v>0</v>
      </c>
      <c r="E242" s="234">
        <v>15.34</v>
      </c>
      <c r="F242" s="214">
        <f t="shared" si="19"/>
        <v>0.3499646385143613</v>
      </c>
      <c r="G242" s="215">
        <f t="shared" si="15"/>
        <v>0.3499646385143613</v>
      </c>
      <c r="H242" s="134">
        <v>43.833</v>
      </c>
      <c r="I242" s="151">
        <v>0.03894782936468033</v>
      </c>
      <c r="J242" s="152">
        <v>0.034796756845776315</v>
      </c>
      <c r="K242" s="222">
        <f t="shared" si="12"/>
        <v>201.95657266273136</v>
      </c>
      <c r="L242" s="274"/>
      <c r="M242" s="191"/>
      <c r="O242" s="192"/>
      <c r="P242" s="191"/>
      <c r="Q242" s="191"/>
      <c r="T242" s="193"/>
    </row>
    <row r="243" spans="2:20" s="105" customFormat="1" ht="15">
      <c r="B243" s="40">
        <v>44409</v>
      </c>
      <c r="C243" s="262">
        <v>15.349372906443314</v>
      </c>
      <c r="D243" s="263">
        <v>0.0004771985263502108</v>
      </c>
      <c r="E243" s="264">
        <v>15.348895707916963</v>
      </c>
      <c r="F243" s="265">
        <v>0.35514513897370004</v>
      </c>
      <c r="G243" s="266">
        <v>0.35513409782315974</v>
      </c>
      <c r="H243" s="134">
        <v>43.22</v>
      </c>
      <c r="I243" s="151">
        <v>0.038296461804712974</v>
      </c>
      <c r="J243" s="152">
        <v>0.03541422859500749</v>
      </c>
      <c r="K243" s="262">
        <v>202.16661127867798</v>
      </c>
      <c r="L243" s="274"/>
      <c r="M243" s="191"/>
      <c r="O243" s="192"/>
      <c r="P243" s="191"/>
      <c r="Q243" s="191"/>
      <c r="T243" s="193"/>
    </row>
    <row r="244" spans="2:20" s="105" customFormat="1" ht="15">
      <c r="B244" s="40">
        <v>44440</v>
      </c>
      <c r="C244" s="262">
        <v>15.178810611542541</v>
      </c>
      <c r="D244" s="263">
        <v>0</v>
      </c>
      <c r="E244" s="264">
        <v>15.178810611542541</v>
      </c>
      <c r="F244" s="265">
        <v>0.3555172880089599</v>
      </c>
      <c r="G244" s="266">
        <v>0.3555172880089599</v>
      </c>
      <c r="H244" s="134">
        <v>42.695</v>
      </c>
      <c r="I244" s="151">
        <v>0.03826988200958944</v>
      </c>
      <c r="J244" s="152">
        <v>0.03471281408373783</v>
      </c>
      <c r="K244" s="262">
        <v>201.9205937904788</v>
      </c>
      <c r="L244" s="275"/>
      <c r="M244" s="191"/>
      <c r="O244" s="192"/>
      <c r="P244" s="191"/>
      <c r="Q244" s="191"/>
      <c r="T244" s="193"/>
    </row>
    <row r="245" spans="2:20" s="105" customFormat="1" ht="15">
      <c r="B245" s="40">
        <v>44470</v>
      </c>
      <c r="C245" s="262">
        <v>14.953987692448289</v>
      </c>
      <c r="D245" s="263">
        <v>0.002479222486812072</v>
      </c>
      <c r="E245" s="264">
        <v>14.951508469961476</v>
      </c>
      <c r="F245" s="265">
        <v>0.34285555054219297</v>
      </c>
      <c r="G245" s="266">
        <v>0.34279870850058414</v>
      </c>
      <c r="H245" s="134">
        <v>43.616</v>
      </c>
      <c r="I245" s="151">
        <v>0.03785637438322947</v>
      </c>
      <c r="J245" s="152">
        <v>0.03430854268282318</v>
      </c>
      <c r="K245" s="262">
        <v>201.15075622483926</v>
      </c>
      <c r="L245" s="188"/>
      <c r="M245" s="191"/>
      <c r="O245" s="192"/>
      <c r="P245" s="191"/>
      <c r="Q245" s="191"/>
      <c r="T245" s="193"/>
    </row>
    <row r="246" spans="2:20" s="105" customFormat="1" ht="15">
      <c r="B246" s="40">
        <v>44501</v>
      </c>
      <c r="C246" s="262">
        <v>15.331200687413894</v>
      </c>
      <c r="D246" s="263">
        <v>-0.00023531800789174968</v>
      </c>
      <c r="E246" s="264">
        <v>15.331436005421786</v>
      </c>
      <c r="F246" s="265">
        <v>0.34851558734744015</v>
      </c>
      <c r="G246" s="266">
        <v>0.34852093669974504</v>
      </c>
      <c r="H246" s="134">
        <v>43.99</v>
      </c>
      <c r="I246" s="151">
        <v>0.03747799852881825</v>
      </c>
      <c r="J246" s="152">
        <v>0.033048522154016345</v>
      </c>
      <c r="K246" s="262">
        <v>211.05378773172686</v>
      </c>
      <c r="L246" s="188"/>
      <c r="M246" s="191"/>
      <c r="O246" s="192"/>
      <c r="P246" s="191"/>
      <c r="Q246" s="191"/>
      <c r="T246" s="193"/>
    </row>
    <row r="247" spans="2:20" s="105" customFormat="1" ht="15">
      <c r="B247" s="125">
        <v>44531</v>
      </c>
      <c r="C247" s="267">
        <v>15.467593608280666</v>
      </c>
      <c r="D247" s="268">
        <v>0.000410827174456218</v>
      </c>
      <c r="E247" s="269">
        <v>15.46718278110621</v>
      </c>
      <c r="F247" s="270">
        <v>0.3489586826459259</v>
      </c>
      <c r="G247" s="271">
        <v>0.3489494141253516</v>
      </c>
      <c r="H247" s="272">
        <v>44.325</v>
      </c>
      <c r="I247" s="147">
        <v>0.03690895348311871</v>
      </c>
      <c r="J247" s="148">
        <v>0.033612395124754134</v>
      </c>
      <c r="K247" s="267">
        <v>212.93810467596722</v>
      </c>
      <c r="L247" s="188"/>
      <c r="M247" s="191"/>
      <c r="O247" s="192"/>
      <c r="P247" s="191"/>
      <c r="Q247" s="191"/>
      <c r="T247" s="193"/>
    </row>
    <row r="248" spans="2:20" s="105" customFormat="1" ht="15">
      <c r="B248" s="189"/>
      <c r="C248" s="121"/>
      <c r="D248" s="121"/>
      <c r="E248" s="258"/>
      <c r="F248" s="122"/>
      <c r="G248" s="122"/>
      <c r="H248" s="121"/>
      <c r="I248" s="190"/>
      <c r="J248" s="190"/>
      <c r="K248" s="257"/>
      <c r="L248" s="188"/>
      <c r="M248" s="191"/>
      <c r="O248" s="192"/>
      <c r="P248" s="191"/>
      <c r="Q248" s="191"/>
      <c r="T248" s="193"/>
    </row>
    <row r="249" spans="2:20" s="105" customFormat="1" ht="15">
      <c r="B249" s="189"/>
      <c r="C249" s="121"/>
      <c r="D249" s="121"/>
      <c r="E249" s="258"/>
      <c r="F249" s="122"/>
      <c r="G249" s="122"/>
      <c r="H249" s="121"/>
      <c r="I249" s="190"/>
      <c r="J249" s="190"/>
      <c r="K249" s="257"/>
      <c r="L249" s="188"/>
      <c r="M249" s="191"/>
      <c r="O249" s="192"/>
      <c r="P249" s="191"/>
      <c r="Q249" s="191"/>
      <c r="T249" s="193"/>
    </row>
    <row r="250" spans="2:20" s="65" customFormat="1" ht="15">
      <c r="B250" s="65" t="s">
        <v>82</v>
      </c>
      <c r="C250" s="1"/>
      <c r="D250" s="1"/>
      <c r="E250" s="258"/>
      <c r="F250" s="1"/>
      <c r="G250" s="1"/>
      <c r="H250" s="1"/>
      <c r="I250" s="1"/>
      <c r="J250" s="1"/>
      <c r="K250" s="1"/>
      <c r="L250" s="1"/>
      <c r="M250" s="1"/>
      <c r="N250" s="105"/>
      <c r="O250" s="29"/>
      <c r="P250" s="1"/>
      <c r="Q250" s="1"/>
      <c r="T250" s="74"/>
    </row>
    <row r="251" spans="2:20" s="65" customFormat="1" ht="15">
      <c r="B251" s="65" t="s">
        <v>86</v>
      </c>
      <c r="C251" s="1"/>
      <c r="D251" s="1"/>
      <c r="E251" s="258"/>
      <c r="F251" s="1"/>
      <c r="G251" s="1"/>
      <c r="H251" s="1"/>
      <c r="I251" s="1"/>
      <c r="J251" s="1"/>
      <c r="K251" s="1"/>
      <c r="L251" s="1"/>
      <c r="M251" s="1"/>
      <c r="N251" s="105"/>
      <c r="O251" s="29"/>
      <c r="P251" s="1"/>
      <c r="Q251" s="1"/>
      <c r="T251" s="74"/>
    </row>
    <row r="252" spans="2:20" s="65" customFormat="1" ht="15">
      <c r="B252" s="61" t="s">
        <v>83</v>
      </c>
      <c r="C252" s="1"/>
      <c r="D252" s="1"/>
      <c r="E252" s="258"/>
      <c r="F252" s="1"/>
      <c r="G252" s="1"/>
      <c r="H252" s="1"/>
      <c r="I252" s="1"/>
      <c r="J252" s="1"/>
      <c r="K252" s="1"/>
      <c r="L252" s="1"/>
      <c r="M252" s="1"/>
      <c r="N252" s="105"/>
      <c r="O252" s="29"/>
      <c r="P252" s="1"/>
      <c r="Q252" s="1"/>
      <c r="T252" s="74"/>
    </row>
    <row r="253" spans="2:20" s="65" customFormat="1" ht="15">
      <c r="B253" s="61"/>
      <c r="C253" s="1"/>
      <c r="D253" s="1"/>
      <c r="E253" s="258"/>
      <c r="F253" s="1"/>
      <c r="G253" s="1"/>
      <c r="H253" s="1"/>
      <c r="I253" s="1"/>
      <c r="J253" s="1"/>
      <c r="K253" s="1"/>
      <c r="L253" s="1"/>
      <c r="M253" s="1"/>
      <c r="N253" s="105"/>
      <c r="O253" s="29"/>
      <c r="P253" s="1"/>
      <c r="Q253" s="1"/>
      <c r="T253" s="74"/>
    </row>
    <row r="254" spans="2:23" ht="15.75" customHeight="1">
      <c r="B254" s="60"/>
      <c r="C254" s="111" t="s">
        <v>55</v>
      </c>
      <c r="D254" s="111"/>
      <c r="E254" s="258"/>
      <c r="F254" s="110"/>
      <c r="G254" s="111"/>
      <c r="H254" s="110"/>
      <c r="I254" s="110"/>
      <c r="J254" s="110"/>
      <c r="K254" s="110"/>
      <c r="L254" s="110"/>
      <c r="M254" s="110"/>
      <c r="N254" s="61"/>
      <c r="O254" s="61"/>
      <c r="P254" s="61"/>
      <c r="Q254" s="61"/>
      <c r="R254" s="61"/>
      <c r="S254" s="61"/>
      <c r="T254" s="61"/>
      <c r="U254" s="61"/>
      <c r="V254" s="61"/>
      <c r="W254" s="61"/>
    </row>
    <row r="255" spans="1:23" ht="15">
      <c r="A255" s="26"/>
      <c r="B255" s="67"/>
      <c r="C255" s="110" t="s">
        <v>54</v>
      </c>
      <c r="D255" s="111"/>
      <c r="E255" s="258"/>
      <c r="F255" s="110"/>
      <c r="G255" s="111"/>
      <c r="H255" s="110"/>
      <c r="I255" s="110"/>
      <c r="J255" s="110"/>
      <c r="K255" s="110"/>
      <c r="L255" s="110"/>
      <c r="M255" s="110"/>
      <c r="N255" s="61"/>
      <c r="O255" s="61"/>
      <c r="P255" s="61"/>
      <c r="Q255" s="61"/>
      <c r="R255" s="61"/>
      <c r="S255" s="51"/>
      <c r="T255" s="65"/>
      <c r="U255" s="61"/>
      <c r="V255" s="61"/>
      <c r="W255" s="61"/>
    </row>
    <row r="256" spans="2:12" ht="15">
      <c r="B256" s="26"/>
      <c r="C256" s="50"/>
      <c r="E256" s="258"/>
      <c r="F256" s="50"/>
      <c r="H256" s="50"/>
      <c r="I256" s="50"/>
      <c r="J256" s="50"/>
      <c r="K256" s="50"/>
      <c r="L256" s="51"/>
    </row>
    <row r="257" spans="2:12" ht="15">
      <c r="B257" s="26"/>
      <c r="C257" s="50"/>
      <c r="E257" s="258"/>
      <c r="F257" s="50"/>
      <c r="H257" s="50"/>
      <c r="I257" s="50"/>
      <c r="J257" s="50"/>
      <c r="K257" s="50"/>
      <c r="L257" s="51"/>
    </row>
    <row r="258" spans="2:12" ht="15">
      <c r="B258" s="26"/>
      <c r="C258" s="50"/>
      <c r="F258" s="50"/>
      <c r="H258" s="50"/>
      <c r="I258" s="50"/>
      <c r="J258" s="50"/>
      <c r="K258" s="50"/>
      <c r="L258" s="51"/>
    </row>
  </sheetData>
  <sheetProtection/>
  <hyperlinks>
    <hyperlink ref="L3" location="'Precio al productor'!A1" display="Volver a hoja principal"/>
    <hyperlink ref="L4" location="'Composición-Precio Kilo Sólidos'!A1" display="Volver a hoja Composición-Precio kilo sólidos"/>
  </hyperlinks>
  <printOptions/>
  <pageMargins left="0.75" right="0.75" top="1" bottom="1" header="0.3" footer="0.3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2017-05-26T19:45:46Z</cp:lastPrinted>
  <dcterms:created xsi:type="dcterms:W3CDTF">2010-03-11T16:24:10Z</dcterms:created>
  <dcterms:modified xsi:type="dcterms:W3CDTF">2022-01-24T14:14:11Z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